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dferreras\Desktop\Nomina Diciembre 2022\"/>
    </mc:Choice>
  </mc:AlternateContent>
  <xr:revisionPtr revIDLastSave="0" documentId="8_{E4D55793-C87C-407D-8507-9CD22AF81CC4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Plantilla Presupuesto" sheetId="2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" i="3" l="1"/>
  <c r="C15" i="3"/>
  <c r="C9" i="3"/>
  <c r="M15" i="3"/>
  <c r="M10" i="3"/>
  <c r="J15" i="3"/>
  <c r="K18" i="3"/>
  <c r="K16" i="3"/>
  <c r="K10" i="3"/>
  <c r="K11" i="3"/>
  <c r="C51" i="2"/>
  <c r="J11" i="3"/>
  <c r="J10" i="3"/>
  <c r="I52" i="3"/>
  <c r="I34" i="3"/>
  <c r="I26" i="3"/>
  <c r="I22" i="3"/>
  <c r="I24" i="3"/>
  <c r="I23" i="3"/>
  <c r="I16" i="3"/>
  <c r="I14" i="3"/>
  <c r="I11" i="3"/>
  <c r="H10" i="3" l="1"/>
  <c r="G10" i="3"/>
  <c r="P12" i="3"/>
  <c r="P13" i="3"/>
  <c r="P18" i="3"/>
  <c r="P19" i="3"/>
  <c r="P21" i="3"/>
  <c r="P23" i="3"/>
  <c r="P24" i="3"/>
  <c r="P27" i="3"/>
  <c r="P29" i="3"/>
  <c r="P30" i="3"/>
  <c r="P31" i="3"/>
  <c r="P32" i="3"/>
  <c r="P33" i="3"/>
  <c r="P36" i="3"/>
  <c r="P37" i="3"/>
  <c r="P38" i="3"/>
  <c r="P39" i="3"/>
  <c r="P40" i="3"/>
  <c r="P41" i="3"/>
  <c r="P42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7" i="3"/>
  <c r="P68" i="3"/>
  <c r="P70" i="3"/>
  <c r="P71" i="3"/>
  <c r="P72" i="3"/>
  <c r="P74" i="3"/>
  <c r="P75" i="3"/>
  <c r="P76" i="3"/>
  <c r="P77" i="3"/>
  <c r="P78" i="3"/>
  <c r="P80" i="3"/>
  <c r="P81" i="3"/>
  <c r="P82" i="3"/>
  <c r="P83" i="3"/>
  <c r="P84" i="3"/>
  <c r="P85" i="3"/>
  <c r="P86" i="3"/>
  <c r="P87" i="3"/>
  <c r="P88" i="3"/>
  <c r="G23" i="3"/>
  <c r="G34" i="3"/>
  <c r="G28" i="3"/>
  <c r="P28" i="3" s="1"/>
  <c r="G26" i="3"/>
  <c r="P26" i="3" s="1"/>
  <c r="G22" i="3"/>
  <c r="G20" i="3"/>
  <c r="P20" i="3" s="1"/>
  <c r="G17" i="3"/>
  <c r="P17" i="3" s="1"/>
  <c r="G16" i="3"/>
  <c r="G14" i="3"/>
  <c r="G9" i="3"/>
  <c r="B10" i="3"/>
  <c r="B14" i="3"/>
  <c r="B26" i="3"/>
  <c r="B9" i="3" l="1"/>
  <c r="C66" i="3"/>
  <c r="C69" i="3"/>
  <c r="B69" i="3"/>
  <c r="B66" i="3"/>
  <c r="B61" i="3"/>
  <c r="C35" i="3"/>
  <c r="B53" i="3"/>
  <c r="C51" i="3"/>
  <c r="B52" i="3"/>
  <c r="B36" i="3"/>
  <c r="B35" i="3" s="1"/>
  <c r="B34" i="3"/>
  <c r="B32" i="3"/>
  <c r="B30" i="3"/>
  <c r="B28" i="3"/>
  <c r="C25" i="3"/>
  <c r="B27" i="3"/>
  <c r="B24" i="3"/>
  <c r="B23" i="3"/>
  <c r="B22" i="3"/>
  <c r="B21" i="3"/>
  <c r="B20" i="3"/>
  <c r="B17" i="3"/>
  <c r="B16" i="3"/>
  <c r="F34" i="3"/>
  <c r="P34" i="3" s="1"/>
  <c r="F22" i="3"/>
  <c r="P22" i="3" s="1"/>
  <c r="F16" i="3"/>
  <c r="F14" i="3"/>
  <c r="F10" i="3"/>
  <c r="C25" i="2"/>
  <c r="D10" i="3"/>
  <c r="E16" i="3"/>
  <c r="E10" i="3"/>
  <c r="E14" i="3"/>
  <c r="B34" i="2"/>
  <c r="B24" i="2"/>
  <c r="B23" i="2"/>
  <c r="B17" i="2"/>
  <c r="B14" i="2"/>
  <c r="B10" i="2"/>
  <c r="P10" i="3" l="1"/>
  <c r="B51" i="3"/>
  <c r="B15" i="3"/>
  <c r="B25" i="3"/>
  <c r="B73" i="3" s="1"/>
  <c r="B89" i="3" s="1"/>
  <c r="C73" i="3"/>
  <c r="C89" i="3" s="1"/>
  <c r="D14" i="3"/>
  <c r="P14" i="3" s="1"/>
  <c r="D16" i="3"/>
  <c r="P16" i="3" s="1"/>
  <c r="N9" i="3"/>
  <c r="O9" i="3"/>
  <c r="C15" i="2" l="1"/>
  <c r="C9" i="2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F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E15" i="3"/>
  <c r="D15" i="3"/>
  <c r="D9" i="3"/>
  <c r="P69" i="3" l="1"/>
  <c r="P43" i="3"/>
  <c r="D73" i="3"/>
  <c r="D89" i="3" l="1"/>
  <c r="I51" i="3"/>
  <c r="L51" i="3" l="1"/>
  <c r="M51" i="3" l="1"/>
  <c r="N51" i="3" l="1"/>
  <c r="O51" i="3"/>
  <c r="P51" i="3" s="1"/>
  <c r="F9" i="3"/>
  <c r="G15" i="3"/>
  <c r="I25" i="3"/>
  <c r="E9" i="3"/>
  <c r="E73" i="3" s="1"/>
  <c r="F15" i="3"/>
  <c r="G25" i="3"/>
  <c r="H25" i="3"/>
  <c r="E89" i="3" l="1"/>
  <c r="L25" i="3"/>
  <c r="G73" i="3"/>
  <c r="H15" i="3"/>
  <c r="F73" i="3"/>
  <c r="D79" i="3"/>
  <c r="G89" i="3" l="1"/>
  <c r="F89" i="3"/>
  <c r="I15" i="3"/>
  <c r="H9" i="3"/>
  <c r="M25" i="3"/>
  <c r="H73" i="3" l="1"/>
  <c r="N25" i="3"/>
  <c r="O25" i="3"/>
  <c r="I9" i="3"/>
  <c r="I73" i="3" s="1"/>
  <c r="I89" i="3" s="1"/>
  <c r="L15" i="3"/>
  <c r="Q66" i="3"/>
  <c r="R66" i="3"/>
  <c r="S66" i="3"/>
  <c r="T66" i="3"/>
  <c r="U66" i="3"/>
  <c r="V66" i="3"/>
  <c r="H89" i="3" l="1"/>
  <c r="L9" i="3"/>
  <c r="M35" i="3"/>
  <c r="N35" i="3"/>
  <c r="L35" i="3"/>
  <c r="B35" i="2"/>
  <c r="P35" i="3" l="1"/>
  <c r="N15" i="3"/>
  <c r="N73" i="3" s="1"/>
  <c r="N89" i="3" s="1"/>
  <c r="O15" i="3"/>
  <c r="M9" i="3"/>
  <c r="C43" i="2"/>
  <c r="C35" i="2" s="1"/>
  <c r="C87" i="2" s="1"/>
  <c r="B51" i="2"/>
  <c r="B43" i="2"/>
  <c r="B25" i="2"/>
  <c r="B15" i="2"/>
  <c r="B9" i="2"/>
  <c r="B87" i="2" l="1"/>
  <c r="L79" i="3"/>
  <c r="M79" i="3"/>
  <c r="N79" i="3"/>
  <c r="E79" i="3"/>
  <c r="H79" i="3"/>
  <c r="J79" i="3"/>
  <c r="P79" i="3" l="1"/>
  <c r="O73" i="3"/>
  <c r="O89" i="3" l="1"/>
  <c r="K61" i="3"/>
  <c r="L61" i="3"/>
  <c r="M61" i="3"/>
  <c r="M73" i="3" s="1"/>
  <c r="L66" i="3"/>
  <c r="M66" i="3"/>
  <c r="P61" i="3" l="1"/>
  <c r="P66" i="3"/>
  <c r="M89" i="3"/>
  <c r="K15" i="3" l="1"/>
  <c r="P15" i="3" s="1"/>
  <c r="K9" i="3" l="1"/>
  <c r="L73" i="3"/>
  <c r="L89" i="3" s="1"/>
  <c r="K73" i="3" l="1"/>
  <c r="K89" i="3" l="1"/>
  <c r="K93" i="3" s="1"/>
  <c r="P9" i="3" l="1"/>
  <c r="J25" i="3" l="1"/>
  <c r="P25" i="3" s="1"/>
  <c r="J73" i="3" l="1"/>
  <c r="J89" i="3" s="1"/>
  <c r="P89" i="3" l="1"/>
  <c r="P73" i="3"/>
</calcChain>
</file>

<file path=xl/sharedStrings.xml><?xml version="1.0" encoding="utf-8"?>
<sst xmlns="http://schemas.openxmlformats.org/spreadsheetml/2006/main" count="213" uniqueCount="126">
  <si>
    <t>MINISTERIO DE ADMINISTRACION PUBLICA  - MAP-</t>
  </si>
  <si>
    <t>INSTITUTO DE ADMINISTRACION PUBLICA - INAP -</t>
  </si>
  <si>
    <t xml:space="preserve">Presupuesto de Gastos y Aplicaciones Financieras 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</si>
  <si>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</si>
  <si>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</si>
  <si>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</si>
  <si>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</si>
  <si>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</si>
  <si>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</si>
  <si>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</si>
  <si>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</si>
  <si>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</si>
  <si>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</si>
  <si>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</si>
  <si>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</si>
  <si>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</si>
  <si>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</si>
  <si>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</si>
  <si>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</si>
  <si>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</si>
  <si>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</si>
  <si>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</si>
  <si>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</si>
  <si>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</si>
  <si>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</si>
  <si>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</si>
  <si>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</si>
  <si>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</si>
  <si>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</si>
  <si>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</si>
  <si>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</si>
  <si>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</si>
  <si>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</si>
  <si>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</si>
  <si>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</si>
  <si>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</si>
  <si>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</si>
  <si>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</si>
  <si>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</si>
  <si>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</si>
  <si>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</si>
  <si>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</si>
  <si>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</si>
  <si>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</si>
  <si>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</si>
  <si>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</si>
  <si>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</si>
  <si>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</si>
  <si>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</si>
  <si>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</si>
  <si>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</si>
  <si>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</si>
  <si>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</si>
  <si>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</si>
  <si>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</si>
  <si>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</si>
  <si>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</si>
  <si>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</si>
  <si>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</si>
  <si>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</si>
  <si>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</si>
  <si>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</si>
  <si>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</si>
  <si>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</si>
  <si>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</si>
  <si>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</si>
  <si>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</si>
  <si>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</si>
  <si>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</si>
  <si>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</si>
  <si>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</si>
  <si>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</si>
  <si>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</si>
  <si>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</si>
  <si>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</si>
  <si>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</si>
  <si>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</si>
  <si>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</si>
  <si>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</si>
  <si>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</si>
  <si>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</si>
  <si>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</si>
  <si>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</si>
  <si>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</si>
  <si>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</si>
  <si>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</si>
  <si>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</si>
  <si>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</si>
  <si>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</si>
  <si>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</si>
  <si>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</si>
  <si>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</si>
  <si>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Lic. Catalina Feliz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</si>
  <si>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</si>
  <si>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</si>
  <si>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</si>
  <si>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>INSTITUTO DE ADMINISTRACION PUBLICA  -INAP-</t>
  </si>
  <si>
    <t xml:space="preserve">Ejecución de Gastos y Aplicaciones Financieras </t>
  </si>
  <si>
    <t>En RD$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</si>
  <si>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</si>
  <si>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</si>
  <si>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</si>
  <si>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</si>
  <si>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</si>
  <si>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</si>
  <si>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</si>
  <si>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</si>
  <si>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</si>
  <si>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</si>
  <si>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</si>
  <si>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</si>
  <si>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</si>
  <si>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</si>
  <si>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t>Aprobado por</t>
  </si>
  <si>
    <t>AñO 2022</t>
  </si>
  <si>
    <t>Enc. Presupuesto</t>
  </si>
  <si>
    <t>Sr. Cristian Sanchez Reyes</t>
  </si>
  <si>
    <t xml:space="preserve">                                                                                                          Sr. Cristian Sanchez Reyes</t>
  </si>
  <si>
    <t xml:space="preserve">                                                                                                                Director General</t>
  </si>
  <si>
    <t>Director General</t>
  </si>
  <si>
    <t>Año 2022</t>
  </si>
  <si>
    <t>Sra. Juana Maria Rodriguez</t>
  </si>
  <si>
    <t xml:space="preserve">Presupuesto Aprobado </t>
  </si>
  <si>
    <t>Presupuesto Modificado</t>
  </si>
  <si>
    <r>
      <t xml:space="preserve">Fecha de registro: </t>
    </r>
    <r>
      <rPr>
        <sz val="11"/>
        <color rgb="FFC00000"/>
        <rFont val="Calibri"/>
        <family val="2"/>
        <scheme val="minor"/>
      </rPr>
      <t>hasta el 10 de Enero del 2023</t>
    </r>
  </si>
  <si>
    <r>
      <t>Fecha de imputación: h</t>
    </r>
    <r>
      <rPr>
        <sz val="11"/>
        <color rgb="FFC00000"/>
        <rFont val="Calibri"/>
        <family val="2"/>
        <scheme val="minor"/>
      </rPr>
      <t>asta el 31 de Diciembre 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</si>
</sst>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0" borderId="0" xfId="1" applyFont="1" applyFill="1"/>
    <xf numFmtId="0" fontId="1" fillId="0" borderId="0" xfId="0" applyFont="1"/>
    <xf numFmtId="0" fontId="0" fillId="0" borderId="3" xfId="0" applyBorder="1"/>
    <xf numFmtId="43" fontId="0" fillId="0" borderId="0" xfId="1" applyFont="1" applyAlignment="1">
      <alignment wrapText="1"/>
    </xf>
    <xf numFmtId="43" fontId="0" fillId="0" borderId="0" xfId="1" applyFont="1" applyAlignment="1"/>
    <xf numFmtId="0" fontId="0" fillId="0" borderId="0" xfId="0" applyAlignment="1">
      <alignment horizontal="center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left" vertic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43" fontId="0" fillId="0" borderId="0" xfId="1" applyFont="1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43" fontId="4" fillId="2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43" fontId="1" fillId="0" borderId="0" xfId="0" applyNumberFormat="1" applyFont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0" fillId="0" borderId="0" xfId="0" applyNumberForma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43" fontId="0" fillId="0" borderId="0" xfId="1" applyFont="1" applyAlignment="1">
      <alignment vertical="center"/>
    </xf>
    <xf numFmtId="43" fontId="1" fillId="4" borderId="0" xfId="1" applyFont="1" applyFill="1" applyAlignment="1">
      <alignment vertical="center" wrapText="1"/>
    </xf>
    <xf numFmtId="43" fontId="1" fillId="5" borderId="0" xfId="1" applyFont="1" applyFill="1" applyAlignment="1">
      <alignment vertical="center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43" fontId="0" fillId="0" borderId="0" xfId="0" applyNumberFormat="1" applyAlignment="1">
      <alignment horizontal="left" wrapText="1"/>
    </xf>
    <xf numFmtId="43" fontId="0" fillId="0" borderId="0" xfId="1" applyFont="1" applyAlignment="1">
      <alignment horizontal="center" vertical="center"/>
    </xf>
    <xf numFmtId="0" fontId="6" fillId="0" borderId="0" xfId="0" applyFont="1"/>
    <xf numFmtId="43" fontId="6" fillId="0" borderId="0" xfId="0" applyNumberFormat="1" applyFont="1"/>
    <xf numFmtId="43" fontId="0" fillId="0" borderId="0" xfId="0" applyNumberFormat="1" applyAlignment="1">
      <alignment vertic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9"/>
  <sheetViews>
    <sheetView showGridLines="0" zoomScaleNormal="100" workbookViewId="0">
      <selection activeCell="A17" sqref="A17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</cols>
  <sheetData>
    <row r="1" spans="1:14" ht="18.75" x14ac:dyDescent="0.3">
      <c r="A1" s="56" t="s">
        <v>0</v>
      </c>
      <c r="B1" s="56"/>
      <c r="C1" s="56"/>
    </row>
    <row r="2" spans="1:14" ht="18.75" x14ac:dyDescent="0.3">
      <c r="A2" s="56" t="s">
        <v>1</v>
      </c>
      <c r="B2" s="56"/>
      <c r="C2" s="56"/>
    </row>
    <row r="3" spans="1:14" ht="18.75" x14ac:dyDescent="0.3">
      <c r="A3" s="58" t="s">
        <v>2</v>
      </c>
      <c r="B3" s="58"/>
      <c r="C3" s="58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18.75" x14ac:dyDescent="0.3">
      <c r="A4" s="58" t="s">
        <v>114</v>
      </c>
      <c r="B4" s="58"/>
      <c r="C4" s="58"/>
      <c r="D4" s="6" t="s">
        <v>3</v>
      </c>
    </row>
    <row r="5" spans="1:14" x14ac:dyDescent="0.25">
      <c r="A5" s="57" t="s">
        <v>4</v>
      </c>
      <c r="B5" s="57"/>
      <c r="C5" s="57"/>
      <c r="D5" s="11" t="s">
        <v>5</v>
      </c>
    </row>
    <row r="6" spans="1:14" x14ac:dyDescent="0.25">
      <c r="A6" s="49"/>
      <c r="B6" s="49"/>
      <c r="C6" s="49"/>
      <c r="D6" s="11"/>
    </row>
    <row r="7" spans="1:14" ht="15.75" x14ac:dyDescent="0.25">
      <c r="A7" s="9" t="s">
        <v>6</v>
      </c>
      <c r="B7" s="10" t="s">
        <v>7</v>
      </c>
      <c r="C7" s="10" t="s">
        <v>8</v>
      </c>
    </row>
    <row r="8" spans="1:14" x14ac:dyDescent="0.25">
      <c r="A8" s="1" t="s">
        <v>9</v>
      </c>
      <c r="B8" s="12"/>
      <c r="C8" s="12"/>
    </row>
    <row r="9" spans="1:14" x14ac:dyDescent="0.25">
      <c r="A9" s="2" t="s">
        <v>10</v>
      </c>
      <c r="B9" s="13">
        <f>SUM(B10:B14)</f>
        <v>135997549</v>
      </c>
      <c r="C9" s="13">
        <f>SUM(C10:C14)</f>
        <v>178618907.22</v>
      </c>
    </row>
    <row r="10" spans="1:14" x14ac:dyDescent="0.25">
      <c r="A10" s="5" t="s">
        <v>11</v>
      </c>
      <c r="B10" s="17">
        <f>69025625+42837550</f>
        <v>111863175</v>
      </c>
      <c r="C10" s="17">
        <v>136613881.53</v>
      </c>
    </row>
    <row r="11" spans="1:14" x14ac:dyDescent="0.25">
      <c r="A11" s="5" t="s">
        <v>12</v>
      </c>
      <c r="B11" s="17">
        <v>11200000</v>
      </c>
      <c r="C11" s="32">
        <v>23879382.41</v>
      </c>
    </row>
    <row r="12" spans="1:14" x14ac:dyDescent="0.25">
      <c r="A12" s="5" t="s">
        <v>13</v>
      </c>
      <c r="B12" s="17"/>
      <c r="C12" s="17"/>
    </row>
    <row r="13" spans="1:14" x14ac:dyDescent="0.25">
      <c r="A13" s="5" t="s">
        <v>14</v>
      </c>
      <c r="B13" s="17"/>
      <c r="C13" s="17"/>
    </row>
    <row r="14" spans="1:14" x14ac:dyDescent="0.25">
      <c r="A14" s="5" t="s">
        <v>15</v>
      </c>
      <c r="B14" s="17">
        <f>9005426+3928948</f>
        <v>12934374</v>
      </c>
      <c r="C14" s="17">
        <v>18125643.280000001</v>
      </c>
    </row>
    <row r="15" spans="1:14" x14ac:dyDescent="0.25">
      <c r="A15" s="2" t="s">
        <v>16</v>
      </c>
      <c r="B15" s="13">
        <f>SUM(B16:B24)</f>
        <v>38830936</v>
      </c>
      <c r="C15" s="13">
        <f>SUM(C16:C24)</f>
        <v>30599023.580000002</v>
      </c>
    </row>
    <row r="16" spans="1:14" x14ac:dyDescent="0.25">
      <c r="A16" s="5" t="s">
        <v>17</v>
      </c>
      <c r="B16" s="17">
        <v>9377000</v>
      </c>
      <c r="C16" s="17">
        <v>10523988.130000001</v>
      </c>
    </row>
    <row r="17" spans="1:3" x14ac:dyDescent="0.25">
      <c r="A17" s="5" t="s">
        <v>18</v>
      </c>
      <c r="B17" s="17">
        <f>650000+500000</f>
        <v>1150000</v>
      </c>
      <c r="C17" s="17">
        <v>590129</v>
      </c>
    </row>
    <row r="18" spans="1:3" x14ac:dyDescent="0.25">
      <c r="A18" s="5" t="s">
        <v>19</v>
      </c>
      <c r="B18" s="17">
        <v>100000</v>
      </c>
      <c r="C18" s="17">
        <v>864500</v>
      </c>
    </row>
    <row r="19" spans="1:3" ht="18" customHeight="1" x14ac:dyDescent="0.25">
      <c r="A19" s="5" t="s">
        <v>20</v>
      </c>
      <c r="B19" s="17">
        <v>3700000</v>
      </c>
      <c r="C19" s="17">
        <v>0</v>
      </c>
    </row>
    <row r="20" spans="1:3" x14ac:dyDescent="0.25">
      <c r="A20" s="5" t="s">
        <v>21</v>
      </c>
      <c r="B20" s="17">
        <v>2931000</v>
      </c>
      <c r="C20" s="17">
        <v>2024177</v>
      </c>
    </row>
    <row r="21" spans="1:3" x14ac:dyDescent="0.25">
      <c r="A21" s="5" t="s">
        <v>22</v>
      </c>
      <c r="B21" s="17">
        <v>1550000</v>
      </c>
      <c r="C21" s="17">
        <v>1141140</v>
      </c>
    </row>
    <row r="22" spans="1:3" x14ac:dyDescent="0.25">
      <c r="A22" s="5" t="s">
        <v>23</v>
      </c>
      <c r="B22" s="17">
        <v>2110000</v>
      </c>
      <c r="C22" s="17">
        <v>1827456.81</v>
      </c>
    </row>
    <row r="23" spans="1:3" x14ac:dyDescent="0.25">
      <c r="A23" s="5" t="s">
        <v>24</v>
      </c>
      <c r="B23" s="17">
        <f>7550000+7862936</f>
        <v>15412936</v>
      </c>
      <c r="C23" s="17">
        <v>11687304.439999999</v>
      </c>
    </row>
    <row r="24" spans="1:3" x14ac:dyDescent="0.25">
      <c r="A24" s="5" t="s">
        <v>25</v>
      </c>
      <c r="B24" s="17">
        <f>1600000+900000</f>
        <v>2500000</v>
      </c>
      <c r="C24" s="17">
        <v>1940328.2</v>
      </c>
    </row>
    <row r="25" spans="1:3" x14ac:dyDescent="0.25">
      <c r="A25" s="2" t="s">
        <v>26</v>
      </c>
      <c r="B25" s="13">
        <f>SUM(B26:B34)</f>
        <v>6650000</v>
      </c>
      <c r="C25" s="13">
        <f>SUM(C26:C34)</f>
        <v>7516192.4299999997</v>
      </c>
    </row>
    <row r="26" spans="1:3" x14ac:dyDescent="0.25">
      <c r="A26" s="5" t="s">
        <v>27</v>
      </c>
      <c r="B26" s="17">
        <v>300000</v>
      </c>
      <c r="C26" s="17">
        <v>350318</v>
      </c>
    </row>
    <row r="27" spans="1:3" x14ac:dyDescent="0.25">
      <c r="A27" s="5" t="s">
        <v>28</v>
      </c>
      <c r="B27" s="17">
        <v>450000</v>
      </c>
      <c r="C27" s="17">
        <v>70835.259999999995</v>
      </c>
    </row>
    <row r="28" spans="1:3" x14ac:dyDescent="0.25">
      <c r="A28" s="5" t="s">
        <v>29</v>
      </c>
      <c r="B28" s="17">
        <v>600000</v>
      </c>
      <c r="C28" s="17">
        <v>211864.53</v>
      </c>
    </row>
    <row r="29" spans="1:3" x14ac:dyDescent="0.25">
      <c r="A29" s="5" t="s">
        <v>30</v>
      </c>
      <c r="B29" s="17"/>
      <c r="C29" s="17">
        <v>37000</v>
      </c>
    </row>
    <row r="30" spans="1:3" x14ac:dyDescent="0.25">
      <c r="A30" s="5" t="s">
        <v>31</v>
      </c>
      <c r="B30" s="17">
        <v>200000</v>
      </c>
      <c r="C30" s="17">
        <v>198889</v>
      </c>
    </row>
    <row r="31" spans="1:3" x14ac:dyDescent="0.25">
      <c r="A31" s="5" t="s">
        <v>32</v>
      </c>
      <c r="B31" s="17"/>
      <c r="C31" s="17"/>
    </row>
    <row r="32" spans="1:3" x14ac:dyDescent="0.25">
      <c r="A32" s="5" t="s">
        <v>33</v>
      </c>
      <c r="B32" s="17">
        <v>2750000</v>
      </c>
      <c r="C32" s="17">
        <v>4514000</v>
      </c>
    </row>
    <row r="33" spans="1:3" x14ac:dyDescent="0.25">
      <c r="A33" s="5" t="s">
        <v>34</v>
      </c>
      <c r="B33" s="17"/>
      <c r="C33" s="17"/>
    </row>
    <row r="34" spans="1:3" x14ac:dyDescent="0.25">
      <c r="A34" s="5" t="s">
        <v>35</v>
      </c>
      <c r="B34" s="17">
        <f>2050000+300000</f>
        <v>2350000</v>
      </c>
      <c r="C34" s="17">
        <v>2133285.64</v>
      </c>
    </row>
    <row r="35" spans="1:3" x14ac:dyDescent="0.25">
      <c r="A35" s="2" t="s">
        <v>36</v>
      </c>
      <c r="B35" s="13">
        <f>SUM(B36:B42)</f>
        <v>4000003</v>
      </c>
      <c r="C35" s="13">
        <f>SUM(C36:C50)</f>
        <v>5000</v>
      </c>
    </row>
    <row r="36" spans="1:3" x14ac:dyDescent="0.25">
      <c r="A36" s="5" t="s">
        <v>37</v>
      </c>
      <c r="B36" s="17">
        <v>4000003</v>
      </c>
      <c r="C36" s="17">
        <v>5000</v>
      </c>
    </row>
    <row r="37" spans="1:3" x14ac:dyDescent="0.25">
      <c r="A37" s="5" t="s">
        <v>38</v>
      </c>
      <c r="B37" s="17"/>
      <c r="C37" s="17"/>
    </row>
    <row r="38" spans="1:3" x14ac:dyDescent="0.25">
      <c r="A38" s="5" t="s">
        <v>39</v>
      </c>
      <c r="B38" s="17"/>
      <c r="C38" s="17"/>
    </row>
    <row r="39" spans="1:3" x14ac:dyDescent="0.25">
      <c r="A39" s="5" t="s">
        <v>40</v>
      </c>
      <c r="B39" s="17"/>
      <c r="C39" s="17"/>
    </row>
    <row r="40" spans="1:3" x14ac:dyDescent="0.25">
      <c r="A40" s="5" t="s">
        <v>41</v>
      </c>
      <c r="B40" s="17"/>
      <c r="C40" s="17"/>
    </row>
    <row r="41" spans="1:3" x14ac:dyDescent="0.25">
      <c r="A41" s="5" t="s">
        <v>42</v>
      </c>
      <c r="B41" s="17"/>
      <c r="C41" s="17"/>
    </row>
    <row r="42" spans="1:3" x14ac:dyDescent="0.25">
      <c r="A42" s="5" t="s">
        <v>43</v>
      </c>
      <c r="B42" s="17"/>
      <c r="C42" s="17"/>
    </row>
    <row r="43" spans="1:3" x14ac:dyDescent="0.25">
      <c r="A43" s="2" t="s">
        <v>44</v>
      </c>
      <c r="B43" s="13">
        <f>SUM(B44:B50)</f>
        <v>0</v>
      </c>
      <c r="C43" s="13">
        <f>SUM(C44:C50)</f>
        <v>0</v>
      </c>
    </row>
    <row r="44" spans="1:3" x14ac:dyDescent="0.25">
      <c r="A44" s="5" t="s">
        <v>45</v>
      </c>
      <c r="B44" s="17"/>
      <c r="C44" s="17"/>
    </row>
    <row r="45" spans="1:3" x14ac:dyDescent="0.25">
      <c r="A45" s="5" t="s">
        <v>46</v>
      </c>
      <c r="B45" s="17"/>
      <c r="C45" s="17"/>
    </row>
    <row r="46" spans="1:3" x14ac:dyDescent="0.25">
      <c r="A46" s="5" t="s">
        <v>47</v>
      </c>
      <c r="B46" s="17"/>
      <c r="C46" s="17"/>
    </row>
    <row r="47" spans="1:3" x14ac:dyDescent="0.25">
      <c r="A47" s="5" t="s">
        <v>48</v>
      </c>
      <c r="B47" s="17"/>
      <c r="C47" s="17"/>
    </row>
    <row r="48" spans="1:3" x14ac:dyDescent="0.25">
      <c r="A48" s="5" t="s">
        <v>49</v>
      </c>
      <c r="B48" s="17"/>
      <c r="C48" s="17"/>
    </row>
    <row r="49" spans="1:24" x14ac:dyDescent="0.25">
      <c r="A49" s="5" t="s">
        <v>50</v>
      </c>
      <c r="B49" s="17"/>
      <c r="C49" s="17"/>
    </row>
    <row r="50" spans="1:24" x14ac:dyDescent="0.25">
      <c r="A50" s="5" t="s">
        <v>51</v>
      </c>
      <c r="B50" s="17"/>
      <c r="C50" s="17"/>
    </row>
    <row r="51" spans="1:24" x14ac:dyDescent="0.25">
      <c r="A51" s="2" t="s">
        <v>52</v>
      </c>
      <c r="B51" s="13">
        <f>SUM(B52:B60)</f>
        <v>710000</v>
      </c>
      <c r="C51" s="13">
        <f>SUM(C52:C60)</f>
        <v>9473272.7699999996</v>
      </c>
    </row>
    <row r="52" spans="1:24" x14ac:dyDescent="0.25">
      <c r="A52" s="5" t="s">
        <v>53</v>
      </c>
      <c r="B52" s="17">
        <v>550000</v>
      </c>
      <c r="C52" s="17">
        <v>1732267.77</v>
      </c>
    </row>
    <row r="53" spans="1:24" x14ac:dyDescent="0.25">
      <c r="A53" s="5" t="s">
        <v>54</v>
      </c>
      <c r="B53" s="17">
        <v>100000</v>
      </c>
      <c r="C53" s="17">
        <v>127220</v>
      </c>
    </row>
    <row r="54" spans="1:24" x14ac:dyDescent="0.25">
      <c r="A54" s="5" t="s">
        <v>55</v>
      </c>
      <c r="B54" s="17"/>
      <c r="C54" s="17"/>
    </row>
    <row r="55" spans="1:24" x14ac:dyDescent="0.25">
      <c r="A55" s="5" t="s">
        <v>56</v>
      </c>
      <c r="B55" s="17"/>
      <c r="C55" s="17">
        <v>5470000</v>
      </c>
    </row>
    <row r="56" spans="1:24" x14ac:dyDescent="0.25">
      <c r="A56" s="5" t="s">
        <v>57</v>
      </c>
      <c r="B56" s="17">
        <v>60000</v>
      </c>
      <c r="C56" s="17">
        <v>939718</v>
      </c>
    </row>
    <row r="57" spans="1:24" x14ac:dyDescent="0.25">
      <c r="A57" s="5" t="s">
        <v>58</v>
      </c>
      <c r="B57" s="17"/>
      <c r="C57" s="17">
        <v>12067</v>
      </c>
    </row>
    <row r="58" spans="1:24" x14ac:dyDescent="0.25">
      <c r="A58" s="5" t="s">
        <v>59</v>
      </c>
      <c r="B58" s="17"/>
      <c r="C58" s="17"/>
    </row>
    <row r="59" spans="1:24" x14ac:dyDescent="0.25">
      <c r="A59" s="5" t="s">
        <v>60</v>
      </c>
      <c r="B59" s="17"/>
      <c r="C59" s="17">
        <v>1192000</v>
      </c>
      <c r="X59" s="16"/>
    </row>
    <row r="60" spans="1:24" x14ac:dyDescent="0.25">
      <c r="A60" s="5" t="s">
        <v>61</v>
      </c>
      <c r="B60" s="17"/>
      <c r="C60" s="17"/>
    </row>
    <row r="61" spans="1:24" x14ac:dyDescent="0.25">
      <c r="A61" s="2" t="s">
        <v>62</v>
      </c>
      <c r="B61" s="13">
        <v>0</v>
      </c>
      <c r="C61" s="14">
        <v>0</v>
      </c>
    </row>
    <row r="62" spans="1:24" x14ac:dyDescent="0.25">
      <c r="A62" s="5" t="s">
        <v>63</v>
      </c>
      <c r="B62" s="17"/>
      <c r="C62" s="14"/>
    </row>
    <row r="63" spans="1:24" x14ac:dyDescent="0.25">
      <c r="A63" s="5" t="s">
        <v>64</v>
      </c>
      <c r="B63" s="17"/>
      <c r="C63" s="14"/>
    </row>
    <row r="64" spans="1:24" x14ac:dyDescent="0.25">
      <c r="A64" s="5" t="s">
        <v>65</v>
      </c>
      <c r="B64" s="17"/>
      <c r="C64" s="14"/>
    </row>
    <row r="65" spans="1:3" ht="30" x14ac:dyDescent="0.25">
      <c r="A65" s="5" t="s">
        <v>66</v>
      </c>
      <c r="B65" s="17"/>
      <c r="C65" s="14"/>
    </row>
    <row r="66" spans="1:3" x14ac:dyDescent="0.25">
      <c r="A66" s="2" t="s">
        <v>67</v>
      </c>
      <c r="B66" s="13">
        <v>0</v>
      </c>
      <c r="C66" s="14">
        <v>0</v>
      </c>
    </row>
    <row r="67" spans="1:3" x14ac:dyDescent="0.25">
      <c r="A67" s="5" t="s">
        <v>68</v>
      </c>
      <c r="B67" s="17"/>
      <c r="C67" s="14"/>
    </row>
    <row r="68" spans="1:3" x14ac:dyDescent="0.25">
      <c r="A68" s="5" t="s">
        <v>69</v>
      </c>
      <c r="B68" s="17"/>
      <c r="C68" s="14"/>
    </row>
    <row r="69" spans="1:3" x14ac:dyDescent="0.25">
      <c r="A69" s="2" t="s">
        <v>70</v>
      </c>
      <c r="B69" s="13"/>
      <c r="C69" s="14"/>
    </row>
    <row r="70" spans="1:3" x14ac:dyDescent="0.25">
      <c r="A70" s="5" t="s">
        <v>71</v>
      </c>
      <c r="B70" s="17"/>
      <c r="C70" s="14"/>
    </row>
    <row r="71" spans="1:3" x14ac:dyDescent="0.25">
      <c r="A71" s="5" t="s">
        <v>72</v>
      </c>
      <c r="B71" s="17"/>
      <c r="C71" s="14"/>
    </row>
    <row r="72" spans="1:3" x14ac:dyDescent="0.25">
      <c r="A72" s="5" t="s">
        <v>73</v>
      </c>
      <c r="B72" s="17"/>
      <c r="C72" s="14"/>
    </row>
    <row r="73" spans="1:3" x14ac:dyDescent="0.25">
      <c r="A73" s="50" t="s">
        <v>74</v>
      </c>
      <c r="B73" s="19">
        <v>0</v>
      </c>
      <c r="C73" s="18">
        <v>0</v>
      </c>
    </row>
    <row r="74" spans="1:3" x14ac:dyDescent="0.25">
      <c r="A74" s="29"/>
      <c r="B74" s="30">
        <v>0</v>
      </c>
      <c r="C74" s="30">
        <v>0</v>
      </c>
    </row>
    <row r="75" spans="1:3" ht="12" customHeight="1" x14ac:dyDescent="0.25">
      <c r="A75" s="3"/>
      <c r="B75" s="17">
        <v>0</v>
      </c>
      <c r="C75" s="14">
        <v>0</v>
      </c>
    </row>
    <row r="76" spans="1:3" x14ac:dyDescent="0.25">
      <c r="A76" s="2" t="s">
        <v>75</v>
      </c>
      <c r="B76" s="26">
        <v>0</v>
      </c>
      <c r="C76" s="27">
        <v>0</v>
      </c>
    </row>
    <row r="77" spans="1:3" x14ac:dyDescent="0.25">
      <c r="A77" s="2" t="s">
        <v>76</v>
      </c>
      <c r="B77" s="26">
        <v>0</v>
      </c>
      <c r="C77" s="27">
        <v>0</v>
      </c>
    </row>
    <row r="78" spans="1:3" x14ac:dyDescent="0.25">
      <c r="A78" s="5" t="s">
        <v>77</v>
      </c>
      <c r="B78" s="17"/>
      <c r="C78" s="14"/>
    </row>
    <row r="79" spans="1:3" x14ac:dyDescent="0.25">
      <c r="A79" s="5" t="s">
        <v>78</v>
      </c>
      <c r="B79" s="17"/>
      <c r="C79" s="14"/>
    </row>
    <row r="80" spans="1:3" x14ac:dyDescent="0.25">
      <c r="A80" s="2" t="s">
        <v>79</v>
      </c>
      <c r="B80" s="13">
        <v>0</v>
      </c>
      <c r="C80" s="14">
        <v>0</v>
      </c>
    </row>
    <row r="81" spans="1:3" x14ac:dyDescent="0.25">
      <c r="A81" s="5" t="s">
        <v>80</v>
      </c>
      <c r="B81" s="17"/>
      <c r="C81" s="14"/>
    </row>
    <row r="82" spans="1:3" x14ac:dyDescent="0.25">
      <c r="A82" s="5" t="s">
        <v>81</v>
      </c>
      <c r="B82" s="17"/>
      <c r="C82" s="14"/>
    </row>
    <row r="83" spans="1:3" x14ac:dyDescent="0.25">
      <c r="A83" s="2" t="s">
        <v>82</v>
      </c>
      <c r="B83" s="13">
        <v>0</v>
      </c>
      <c r="C83" s="14">
        <v>0</v>
      </c>
    </row>
    <row r="84" spans="1:3" x14ac:dyDescent="0.25">
      <c r="A84" s="5" t="s">
        <v>83</v>
      </c>
      <c r="B84" s="17"/>
      <c r="C84" s="14"/>
    </row>
    <row r="85" spans="1:3" x14ac:dyDescent="0.25">
      <c r="A85" s="7" t="s">
        <v>84</v>
      </c>
      <c r="B85" s="18">
        <v>0</v>
      </c>
      <c r="C85" s="18">
        <v>0</v>
      </c>
    </row>
    <row r="86" spans="1:3" x14ac:dyDescent="0.25">
      <c r="B86" s="14"/>
      <c r="C86" s="14"/>
    </row>
    <row r="87" spans="1:3" ht="15.75" x14ac:dyDescent="0.25">
      <c r="A87" s="8" t="s">
        <v>85</v>
      </c>
      <c r="B87" s="19">
        <f>SUM(B9+B15+B25+B35+B51)</f>
        <v>186188488</v>
      </c>
      <c r="C87" s="19">
        <f>SUM(C9+C15+C25+C35+C51)</f>
        <v>226212396.00000003</v>
      </c>
    </row>
    <row r="88" spans="1:3" x14ac:dyDescent="0.25">
      <c r="A88" t="s">
        <v>86</v>
      </c>
      <c r="B88" s="14" t="s">
        <v>87</v>
      </c>
      <c r="C88" s="14"/>
    </row>
    <row r="90" spans="1:3" x14ac:dyDescent="0.25">
      <c r="A90" t="s">
        <v>88</v>
      </c>
      <c r="B90" t="s">
        <v>89</v>
      </c>
    </row>
    <row r="94" spans="1:3" ht="9.75" customHeight="1" x14ac:dyDescent="0.25">
      <c r="A94" t="s">
        <v>90</v>
      </c>
      <c r="B94" t="s">
        <v>91</v>
      </c>
    </row>
    <row r="95" spans="1:3" x14ac:dyDescent="0.25">
      <c r="A95" s="21" t="s">
        <v>121</v>
      </c>
      <c r="B95" s="21" t="s">
        <v>92</v>
      </c>
    </row>
    <row r="96" spans="1:3" x14ac:dyDescent="0.25">
      <c r="A96" t="s">
        <v>115</v>
      </c>
      <c r="B96" t="s">
        <v>93</v>
      </c>
    </row>
    <row r="98" spans="1:11" x14ac:dyDescent="0.25">
      <c r="A98" s="60" t="s">
        <v>94</v>
      </c>
      <c r="B98" s="60"/>
      <c r="C98" s="60"/>
    </row>
    <row r="99" spans="1:11" x14ac:dyDescent="0.25">
      <c r="A99" s="31"/>
      <c r="B99" s="31"/>
      <c r="C99" s="31"/>
    </row>
    <row r="100" spans="1:11" x14ac:dyDescent="0.25">
      <c r="A100" s="31"/>
      <c r="B100" s="51"/>
      <c r="C100" s="31"/>
    </row>
    <row r="101" spans="1:11" x14ac:dyDescent="0.25">
      <c r="A101" s="28"/>
      <c r="B101" s="28"/>
      <c r="C101" s="28"/>
    </row>
    <row r="102" spans="1:11" x14ac:dyDescent="0.25">
      <c r="A102" s="25" t="s">
        <v>95</v>
      </c>
      <c r="B102" s="25"/>
      <c r="C102" s="25"/>
    </row>
    <row r="103" spans="1:11" x14ac:dyDescent="0.25">
      <c r="A103" s="61" t="s">
        <v>117</v>
      </c>
      <c r="B103" s="61"/>
      <c r="C103" s="61"/>
    </row>
    <row r="104" spans="1:11" x14ac:dyDescent="0.25">
      <c r="A104" s="60" t="s">
        <v>118</v>
      </c>
      <c r="B104" s="60"/>
      <c r="C104" s="60"/>
    </row>
    <row r="106" spans="1:11" x14ac:dyDescent="0.25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</row>
    <row r="107" spans="1:11" x14ac:dyDescent="0.25">
      <c r="A107" s="59"/>
      <c r="B107" s="59"/>
      <c r="C107" s="59"/>
      <c r="D107" s="59"/>
      <c r="E107" s="59"/>
      <c r="F107" s="59"/>
      <c r="G107" s="59"/>
      <c r="H107" s="59"/>
    </row>
    <row r="109" spans="1:11" x14ac:dyDescent="0.25">
      <c r="C109" s="16"/>
    </row>
  </sheetData>
  <mergeCells count="14">
    <mergeCell ref="A107:H107"/>
    <mergeCell ref="J3:L3"/>
    <mergeCell ref="M3:N3"/>
    <mergeCell ref="A98:C98"/>
    <mergeCell ref="A103:C103"/>
    <mergeCell ref="A104:C104"/>
    <mergeCell ref="D3:F3"/>
    <mergeCell ref="G3:I3"/>
    <mergeCell ref="A106:K106"/>
    <mergeCell ref="A1:C1"/>
    <mergeCell ref="A2:C2"/>
    <mergeCell ref="A5:C5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27"/>
  <sheetViews>
    <sheetView showGridLines="0" tabSelected="1" topLeftCell="A14" zoomScale="75" zoomScaleNormal="75" workbookViewId="0">
      <selection activeCell="A3" sqref="A3:P3"/>
    </sheetView>
  </sheetViews>
  <sheetFormatPr baseColWidth="10" defaultColWidth="9.140625" defaultRowHeight="15" x14ac:dyDescent="0.25"/>
  <cols>
    <col min="1" max="1" width="40" customWidth="1"/>
    <col min="2" max="3" width="20.85546875" customWidth="1"/>
    <col min="4" max="4" width="14.42578125" customWidth="1"/>
    <col min="5" max="5" width="16.140625" customWidth="1"/>
    <col min="6" max="6" width="17" customWidth="1"/>
    <col min="7" max="7" width="15.140625" bestFit="1" customWidth="1"/>
    <col min="8" max="8" width="15.7109375" customWidth="1"/>
    <col min="9" max="9" width="17.5703125" customWidth="1"/>
    <col min="10" max="10" width="18.85546875" customWidth="1"/>
    <col min="11" max="11" width="15.5703125" bestFit="1" customWidth="1"/>
    <col min="12" max="12" width="19.42578125" customWidth="1"/>
    <col min="13" max="13" width="14.85546875" bestFit="1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ht="18.75" customHeight="1" x14ac:dyDescent="0.3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"/>
    </row>
    <row r="2" spans="1:28" ht="18.75" customHeight="1" x14ac:dyDescent="0.3">
      <c r="A2" s="62" t="s">
        <v>96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"/>
    </row>
    <row r="3" spans="1:28" ht="15.75" customHeight="1" x14ac:dyDescent="0.25">
      <c r="A3" s="58" t="s">
        <v>97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11"/>
    </row>
    <row r="4" spans="1:28" ht="15.75" x14ac:dyDescent="0.25">
      <c r="A4" s="58" t="s">
        <v>120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11"/>
    </row>
    <row r="5" spans="1:28" x14ac:dyDescent="0.25">
      <c r="A5" s="57" t="s">
        <v>98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11"/>
    </row>
    <row r="6" spans="1:28" ht="15" customHeight="1" x14ac:dyDescent="0.25">
      <c r="D6" s="16"/>
      <c r="Q6" s="11"/>
    </row>
    <row r="7" spans="1:28" ht="31.5" x14ac:dyDescent="0.25">
      <c r="A7" s="9" t="s">
        <v>6</v>
      </c>
      <c r="B7" s="10" t="s">
        <v>122</v>
      </c>
      <c r="C7" s="10" t="s">
        <v>123</v>
      </c>
      <c r="D7" s="10" t="s">
        <v>99</v>
      </c>
      <c r="E7" s="10" t="s">
        <v>100</v>
      </c>
      <c r="F7" s="10" t="s">
        <v>101</v>
      </c>
      <c r="G7" s="10" t="s">
        <v>102</v>
      </c>
      <c r="H7" s="10" t="s">
        <v>103</v>
      </c>
      <c r="I7" s="10" t="s">
        <v>104</v>
      </c>
      <c r="J7" s="10" t="s">
        <v>105</v>
      </c>
      <c r="K7" s="10" t="s">
        <v>106</v>
      </c>
      <c r="L7" s="10" t="s">
        <v>107</v>
      </c>
      <c r="M7" s="10" t="s">
        <v>108</v>
      </c>
      <c r="N7" s="10" t="s">
        <v>109</v>
      </c>
      <c r="O7" s="10" t="s">
        <v>110</v>
      </c>
      <c r="P7" s="10" t="s">
        <v>111</v>
      </c>
      <c r="AA7" s="16"/>
      <c r="AB7" s="16"/>
    </row>
    <row r="8" spans="1:28" x14ac:dyDescent="0.25">
      <c r="A8" s="1" t="s">
        <v>9</v>
      </c>
      <c r="B8" s="1"/>
      <c r="C8" s="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30" x14ac:dyDescent="0.25">
      <c r="A9" s="2" t="s">
        <v>10</v>
      </c>
      <c r="B9" s="13">
        <f>B10+B11+B14</f>
        <v>135997549</v>
      </c>
      <c r="C9" s="13">
        <f>C10+C11+C14</f>
        <v>178618907.22</v>
      </c>
      <c r="D9" s="13">
        <f>SUM(D10:D14)</f>
        <v>8899837.3900000006</v>
      </c>
      <c r="E9" s="13">
        <f t="shared" ref="E9:I9" si="0">SUM(E10:E14)</f>
        <v>8998706.1499999985</v>
      </c>
      <c r="F9" s="13">
        <f t="shared" si="0"/>
        <v>10993797.83</v>
      </c>
      <c r="G9" s="13">
        <f t="shared" si="0"/>
        <v>8971359.6099999994</v>
      </c>
      <c r="H9" s="13">
        <f t="shared" si="0"/>
        <v>11265665.42</v>
      </c>
      <c r="I9" s="13">
        <f t="shared" si="0"/>
        <v>15435609.939999999</v>
      </c>
      <c r="J9" s="13">
        <f>SUM(J10:J14)</f>
        <v>14081857.790000001</v>
      </c>
      <c r="K9" s="13">
        <f t="shared" ref="K9:O9" si="1">+K10+K11+K12+K13+K14</f>
        <v>13288300.390000001</v>
      </c>
      <c r="L9" s="13">
        <f t="shared" si="1"/>
        <v>10857323.109999999</v>
      </c>
      <c r="M9" s="13">
        <f t="shared" si="1"/>
        <v>9680283.1699999999</v>
      </c>
      <c r="N9" s="13">
        <f t="shared" si="1"/>
        <v>19821770.899999999</v>
      </c>
      <c r="O9" s="13">
        <f t="shared" si="1"/>
        <v>45943634.260000005</v>
      </c>
      <c r="P9" s="13">
        <f>SUM(D9:O9)</f>
        <v>178238145.95999998</v>
      </c>
      <c r="S9" s="15"/>
    </row>
    <row r="10" spans="1:28" s="21" customFormat="1" x14ac:dyDescent="0.25">
      <c r="A10" s="44" t="s">
        <v>11</v>
      </c>
      <c r="B10" s="40">
        <f>37368000+65345700+7149475+2000000</f>
        <v>111863175</v>
      </c>
      <c r="C10" s="40">
        <v>136613881.53</v>
      </c>
      <c r="D10" s="13">
        <f>5688300+1910333.33</f>
        <v>7598633.3300000001</v>
      </c>
      <c r="E10" s="13">
        <f>5623300+1922000+159972.31</f>
        <v>7705272.3099999996</v>
      </c>
      <c r="F10" s="13">
        <f>5523300+3936660</f>
        <v>9459960</v>
      </c>
      <c r="G10" s="45">
        <f>5523300+2082000+63451.77</f>
        <v>7668751.7699999996</v>
      </c>
      <c r="H10" s="45">
        <f>5473300+4180450</f>
        <v>9653750</v>
      </c>
      <c r="I10" s="45">
        <v>11522400</v>
      </c>
      <c r="J10" s="45">
        <f>5693433.33+2121000+426000+125000+83064.14</f>
        <v>8448497.4700000007</v>
      </c>
      <c r="K10" s="45">
        <f>5689300+2046000+105000+3476520+196633.59</f>
        <v>11513453.59</v>
      </c>
      <c r="L10" s="45">
        <v>9151254.7200000007</v>
      </c>
      <c r="M10" s="45">
        <f>5844100+2435333.33</f>
        <v>8279433.3300000001</v>
      </c>
      <c r="N10" s="45">
        <v>10712486.029999999</v>
      </c>
      <c r="O10" s="13">
        <v>34899988.850000001</v>
      </c>
      <c r="P10" s="13">
        <f t="shared" ref="P10:P73" si="2">SUM(D10:O10)</f>
        <v>136613881.40000001</v>
      </c>
    </row>
    <row r="11" spans="1:28" x14ac:dyDescent="0.25">
      <c r="A11" s="5" t="s">
        <v>12</v>
      </c>
      <c r="B11" s="42">
        <v>11200000</v>
      </c>
      <c r="C11" s="42">
        <v>23879382.41</v>
      </c>
      <c r="D11" s="17">
        <v>155000</v>
      </c>
      <c r="E11" s="17">
        <v>155000</v>
      </c>
      <c r="F11" s="14">
        <v>155000</v>
      </c>
      <c r="G11" s="14">
        <v>155000</v>
      </c>
      <c r="H11" s="14">
        <v>155000</v>
      </c>
      <c r="I11" s="14">
        <f>155000+2032400</f>
        <v>2187400</v>
      </c>
      <c r="J11" s="14">
        <f>155000+4124086.08+95000</f>
        <v>4374086.08</v>
      </c>
      <c r="K11" s="14">
        <f>155000</f>
        <v>155000</v>
      </c>
      <c r="L11" s="14">
        <v>362319.44</v>
      </c>
      <c r="M11" s="14">
        <v>155000</v>
      </c>
      <c r="N11" s="14">
        <v>7744038.8499999996</v>
      </c>
      <c r="O11" s="13">
        <v>7745777.75</v>
      </c>
      <c r="P11" s="43">
        <f t="shared" si="2"/>
        <v>23498622.120000001</v>
      </c>
    </row>
    <row r="12" spans="1:28" ht="30" x14ac:dyDescent="0.25">
      <c r="A12" s="5" t="s">
        <v>13</v>
      </c>
      <c r="B12" s="42"/>
      <c r="C12" s="42"/>
      <c r="D12" s="17"/>
      <c r="E12" s="17"/>
      <c r="F12" s="17"/>
      <c r="G12" s="14"/>
      <c r="H12" s="17"/>
      <c r="I12" s="14"/>
      <c r="J12" s="17"/>
      <c r="K12" s="14"/>
      <c r="L12" s="17"/>
      <c r="M12" s="17"/>
      <c r="N12" s="17"/>
      <c r="O12" s="13"/>
      <c r="P12" s="13">
        <f t="shared" si="2"/>
        <v>0</v>
      </c>
    </row>
    <row r="13" spans="1:28" ht="30" x14ac:dyDescent="0.25">
      <c r="A13" s="5" t="s">
        <v>14</v>
      </c>
      <c r="B13" s="42"/>
      <c r="C13" s="42"/>
      <c r="D13" s="17"/>
      <c r="E13" s="17"/>
      <c r="F13" s="17"/>
      <c r="G13" s="14"/>
      <c r="H13" s="17"/>
      <c r="I13" s="14"/>
      <c r="J13" s="17"/>
      <c r="K13" s="14"/>
      <c r="L13" s="17"/>
      <c r="M13" s="17"/>
      <c r="N13" s="17"/>
      <c r="O13" s="17"/>
      <c r="P13" s="13">
        <f t="shared" si="2"/>
        <v>0</v>
      </c>
    </row>
    <row r="14" spans="1:28" ht="30" x14ac:dyDescent="0.25">
      <c r="A14" s="5" t="s">
        <v>15</v>
      </c>
      <c r="B14" s="42">
        <f>5997692+6006152+930530</f>
        <v>12934374</v>
      </c>
      <c r="C14" s="42">
        <v>18125643.280000001</v>
      </c>
      <c r="D14" s="17">
        <f>534320.72+539502.97+72380.37</f>
        <v>1146204.06</v>
      </c>
      <c r="E14" s="17">
        <f>530539.39+535716.3+72178.15</f>
        <v>1138433.8399999999</v>
      </c>
      <c r="F14" s="17">
        <f>636980.51+653853.91+88003.41</f>
        <v>1378837.8299999998</v>
      </c>
      <c r="G14" s="17">
        <f>534793.39+539976.3+72838.15</f>
        <v>1147607.8399999999</v>
      </c>
      <c r="H14" s="17">
        <v>1456915.42</v>
      </c>
      <c r="I14" s="17">
        <f>806584.99+818090.4+101134.55</f>
        <v>1725809.9400000002</v>
      </c>
      <c r="J14" s="17">
        <v>1259274.24</v>
      </c>
      <c r="K14" s="17">
        <v>1619846.8</v>
      </c>
      <c r="L14" s="17">
        <v>1343748.95</v>
      </c>
      <c r="M14" s="17">
        <v>1245849.8400000001</v>
      </c>
      <c r="N14" s="17">
        <v>1365246.02</v>
      </c>
      <c r="O14" s="17">
        <v>3297867.66</v>
      </c>
      <c r="P14" s="43">
        <f t="shared" si="2"/>
        <v>18125642.439999998</v>
      </c>
    </row>
    <row r="15" spans="1:28" x14ac:dyDescent="0.25">
      <c r="A15" s="2" t="s">
        <v>16</v>
      </c>
      <c r="B15" s="40">
        <f>B16+B17+B18+B19+B20+B21+B22+B23+B24</f>
        <v>38830936</v>
      </c>
      <c r="C15" s="40">
        <f>C16+C17+C18+C19+C20+C21+C22+C23+C24</f>
        <v>30599023.580000002</v>
      </c>
      <c r="D15" s="13">
        <f>SUM(D16:D24)</f>
        <v>133288.66</v>
      </c>
      <c r="E15" s="13">
        <f t="shared" ref="E15" si="3">SUM(E16:E24)</f>
        <v>1657236.5199999998</v>
      </c>
      <c r="F15" s="13">
        <f>SUM(F16:F24)</f>
        <v>979276.29</v>
      </c>
      <c r="G15" s="13">
        <f t="shared" ref="G15:J15" si="4">SUM(G16:G24)</f>
        <v>1316100.3500000001</v>
      </c>
      <c r="H15" s="13">
        <f t="shared" si="4"/>
        <v>2777219.51</v>
      </c>
      <c r="I15" s="13">
        <f t="shared" si="4"/>
        <v>1413609.4100000001</v>
      </c>
      <c r="J15" s="13">
        <f t="shared" si="4"/>
        <v>2087131.29</v>
      </c>
      <c r="K15" s="13">
        <f t="shared" ref="K15:O15" si="5">SUM(K16:K24)</f>
        <v>2931785.2500000005</v>
      </c>
      <c r="L15" s="13">
        <f t="shared" si="5"/>
        <v>4571306.46</v>
      </c>
      <c r="M15" s="13">
        <f t="shared" si="5"/>
        <v>1514556.6099999999</v>
      </c>
      <c r="N15" s="13">
        <f t="shared" si="5"/>
        <v>2399506.25</v>
      </c>
      <c r="O15" s="13">
        <f t="shared" si="5"/>
        <v>8244804.1499999994</v>
      </c>
      <c r="P15" s="13">
        <f t="shared" si="2"/>
        <v>30025820.75</v>
      </c>
    </row>
    <row r="16" spans="1:28" x14ac:dyDescent="0.25">
      <c r="A16" s="5" t="s">
        <v>17</v>
      </c>
      <c r="B16" s="42">
        <f>15000+1800000+4700000+2850000+12000</f>
        <v>9377000</v>
      </c>
      <c r="C16" s="42">
        <v>10523988.130000001</v>
      </c>
      <c r="D16" s="13">
        <f>30095.66+42484</f>
        <v>72579.66</v>
      </c>
      <c r="E16" s="17">
        <f>512007.48+863739.82+201344.03</f>
        <v>1577091.3299999998</v>
      </c>
      <c r="F16" s="14">
        <f>87136.42+479580.61+147617.06+2527.2</f>
        <v>716861.29</v>
      </c>
      <c r="G16" s="14">
        <f>91847.89+465011.96+190916.18</f>
        <v>747776.03</v>
      </c>
      <c r="H16" s="14">
        <v>751762.77</v>
      </c>
      <c r="I16" s="14">
        <f>91130.29+467911.58+206141.44</f>
        <v>765183.31</v>
      </c>
      <c r="J16" s="14">
        <v>668830.55000000005</v>
      </c>
      <c r="K16" s="14">
        <f>116921.76+659622.66+239431.28</f>
        <v>1015975.7000000001</v>
      </c>
      <c r="L16" s="17">
        <v>1238911.55</v>
      </c>
      <c r="M16" s="14">
        <v>876221.51</v>
      </c>
      <c r="N16" s="14">
        <v>797532.24</v>
      </c>
      <c r="O16" s="14">
        <v>1292463.23</v>
      </c>
      <c r="P16" s="43">
        <f t="shared" si="2"/>
        <v>10521189.17</v>
      </c>
    </row>
    <row r="17" spans="1:16" ht="30" x14ac:dyDescent="0.25">
      <c r="A17" s="5" t="s">
        <v>18</v>
      </c>
      <c r="B17" s="42">
        <f>50000+1100000</f>
        <v>1150000</v>
      </c>
      <c r="C17" s="42">
        <v>590129</v>
      </c>
      <c r="D17" s="13"/>
      <c r="E17" s="17">
        <v>0</v>
      </c>
      <c r="F17" s="14"/>
      <c r="G17" s="14">
        <f>57230</f>
        <v>57230</v>
      </c>
      <c r="H17" s="14"/>
      <c r="I17" s="14"/>
      <c r="J17" s="14">
        <v>354879.47</v>
      </c>
      <c r="K17" s="14"/>
      <c r="L17" s="14"/>
      <c r="M17" s="14"/>
      <c r="N17" s="14">
        <v>16298.75</v>
      </c>
      <c r="O17" s="14">
        <v>112690</v>
      </c>
      <c r="P17" s="43">
        <f t="shared" si="2"/>
        <v>541098.22</v>
      </c>
    </row>
    <row r="18" spans="1:16" x14ac:dyDescent="0.25">
      <c r="A18" s="5" t="s">
        <v>19</v>
      </c>
      <c r="B18" s="42">
        <v>100000</v>
      </c>
      <c r="C18" s="42">
        <v>864500</v>
      </c>
      <c r="D18" s="13"/>
      <c r="E18" s="17">
        <v>0</v>
      </c>
      <c r="F18" s="14"/>
      <c r="G18" s="14"/>
      <c r="H18" s="14"/>
      <c r="I18" s="14"/>
      <c r="J18" s="14">
        <v>32150</v>
      </c>
      <c r="K18" s="14">
        <f>299200</f>
        <v>299200</v>
      </c>
      <c r="L18" s="14">
        <v>100050</v>
      </c>
      <c r="M18" s="14">
        <v>243450</v>
      </c>
      <c r="N18" s="14">
        <v>104550</v>
      </c>
      <c r="O18" s="14">
        <v>85100</v>
      </c>
      <c r="P18" s="43">
        <f t="shared" si="2"/>
        <v>864500</v>
      </c>
    </row>
    <row r="19" spans="1:16" ht="18" customHeight="1" x14ac:dyDescent="0.25">
      <c r="A19" s="5" t="s">
        <v>20</v>
      </c>
      <c r="B19" s="42">
        <v>3700000</v>
      </c>
      <c r="C19" s="42">
        <v>0</v>
      </c>
      <c r="D19" s="13"/>
      <c r="E19" s="17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43">
        <f t="shared" si="2"/>
        <v>0</v>
      </c>
    </row>
    <row r="20" spans="1:16" x14ac:dyDescent="0.25">
      <c r="A20" s="5" t="s">
        <v>21</v>
      </c>
      <c r="B20" s="42">
        <f>406000+25000+2500000</f>
        <v>2931000</v>
      </c>
      <c r="C20" s="42">
        <v>2024177</v>
      </c>
      <c r="D20" s="13"/>
      <c r="E20" s="17">
        <v>0</v>
      </c>
      <c r="F20" s="14">
        <v>81420</v>
      </c>
      <c r="G20" s="14">
        <f>27140+64400</f>
        <v>91540</v>
      </c>
      <c r="H20" s="14">
        <v>27140</v>
      </c>
      <c r="I20" s="14"/>
      <c r="J20" s="14">
        <v>275412</v>
      </c>
      <c r="K20" s="14">
        <v>-16258</v>
      </c>
      <c r="L20" s="17">
        <v>983545</v>
      </c>
      <c r="M20" s="14"/>
      <c r="N20" s="14">
        <v>27140</v>
      </c>
      <c r="O20" s="14">
        <v>524797.44999999995</v>
      </c>
      <c r="P20" s="43">
        <f t="shared" si="2"/>
        <v>1994736.45</v>
      </c>
    </row>
    <row r="21" spans="1:16" x14ac:dyDescent="0.25">
      <c r="A21" s="5" t="s">
        <v>22</v>
      </c>
      <c r="B21" s="42">
        <f>350000+1200000</f>
        <v>1550000</v>
      </c>
      <c r="C21" s="42">
        <v>1141140</v>
      </c>
      <c r="D21" s="43">
        <v>60709</v>
      </c>
      <c r="E21" s="17">
        <v>62145</v>
      </c>
      <c r="F21" s="14">
        <v>64545</v>
      </c>
      <c r="G21" s="14">
        <v>63575.4</v>
      </c>
      <c r="H21" s="14">
        <v>132969.70000000001</v>
      </c>
      <c r="I21" s="14">
        <v>316222.09999999998</v>
      </c>
      <c r="J21" s="14">
        <v>65624.100000000006</v>
      </c>
      <c r="K21" s="14">
        <v>71572.100000000006</v>
      </c>
      <c r="L21" s="14">
        <v>71606.399999999994</v>
      </c>
      <c r="M21" s="14">
        <v>71606.399999999994</v>
      </c>
      <c r="N21" s="14">
        <v>84402.89</v>
      </c>
      <c r="O21" s="14">
        <v>75893.399999999994</v>
      </c>
      <c r="P21" s="43">
        <f t="shared" si="2"/>
        <v>1140871.4899999998</v>
      </c>
    </row>
    <row r="22" spans="1:16" ht="45" x14ac:dyDescent="0.25">
      <c r="A22" s="5" t="s">
        <v>23</v>
      </c>
      <c r="B22" s="42">
        <f>960000+1150000</f>
        <v>2110000</v>
      </c>
      <c r="C22" s="42">
        <v>1827456.81</v>
      </c>
      <c r="D22" s="13">
        <v>0</v>
      </c>
      <c r="E22" s="17">
        <v>0</v>
      </c>
      <c r="F22" s="14">
        <f>75000+23600</f>
        <v>98600</v>
      </c>
      <c r="G22" s="14">
        <f>25000+144231.4</f>
        <v>169231.4</v>
      </c>
      <c r="H22" s="14">
        <v>29720</v>
      </c>
      <c r="I22" s="14">
        <f>69030+122400+4720</f>
        <v>196150</v>
      </c>
      <c r="J22" s="14">
        <v>112341.9</v>
      </c>
      <c r="K22" s="14">
        <v>257130.32</v>
      </c>
      <c r="L22" s="14">
        <v>123124.8</v>
      </c>
      <c r="M22" s="14">
        <v>110365.4</v>
      </c>
      <c r="N22" s="14">
        <v>216957.79</v>
      </c>
      <c r="O22" s="14">
        <v>441438.61</v>
      </c>
      <c r="P22" s="43">
        <f t="shared" si="2"/>
        <v>1755060.2200000002</v>
      </c>
    </row>
    <row r="23" spans="1:16" ht="30" x14ac:dyDescent="0.25">
      <c r="A23" s="5" t="s">
        <v>24</v>
      </c>
      <c r="B23" s="42">
        <f>800000+6000000+8612936</f>
        <v>15412936</v>
      </c>
      <c r="C23" s="42">
        <v>11687304.439999999</v>
      </c>
      <c r="D23" s="13"/>
      <c r="E23" s="17"/>
      <c r="F23" s="14"/>
      <c r="G23" s="14">
        <f>28320+140550.52</f>
        <v>168870.52</v>
      </c>
      <c r="H23" s="14">
        <v>1651616.51</v>
      </c>
      <c r="I23" s="14">
        <f>11800+21240</f>
        <v>33040</v>
      </c>
      <c r="J23" s="20">
        <v>327761</v>
      </c>
      <c r="K23" s="14">
        <v>1028346.15</v>
      </c>
      <c r="L23" s="14">
        <v>1907477.31</v>
      </c>
      <c r="M23" s="14">
        <v>62540</v>
      </c>
      <c r="N23" s="14">
        <v>821161.86</v>
      </c>
      <c r="O23" s="14">
        <v>5348991.68</v>
      </c>
      <c r="P23" s="43">
        <f t="shared" si="2"/>
        <v>11349805.030000001</v>
      </c>
    </row>
    <row r="24" spans="1:16" ht="30" x14ac:dyDescent="0.25">
      <c r="A24" s="5" t="s">
        <v>25</v>
      </c>
      <c r="B24" s="42">
        <f>2500000</f>
        <v>2500000</v>
      </c>
      <c r="C24" s="42">
        <v>1940328.2</v>
      </c>
      <c r="D24" s="13"/>
      <c r="E24" s="17">
        <v>18000.189999999999</v>
      </c>
      <c r="F24" s="46">
        <v>17850</v>
      </c>
      <c r="G24" s="46">
        <v>17877</v>
      </c>
      <c r="H24" s="14">
        <v>184010.53</v>
      </c>
      <c r="I24" s="14">
        <f>28674+74340</f>
        <v>103014</v>
      </c>
      <c r="J24" s="14">
        <v>250132.27</v>
      </c>
      <c r="K24" s="14">
        <v>275818.98</v>
      </c>
      <c r="L24" s="17">
        <v>146591.4</v>
      </c>
      <c r="M24" s="14">
        <v>150373.29999999999</v>
      </c>
      <c r="N24" s="14">
        <v>331462.71999999997</v>
      </c>
      <c r="O24" s="14">
        <v>363429.78</v>
      </c>
      <c r="P24" s="43">
        <f t="shared" si="2"/>
        <v>1858560.17</v>
      </c>
    </row>
    <row r="25" spans="1:16" x14ac:dyDescent="0.25">
      <c r="A25" s="2" t="s">
        <v>26</v>
      </c>
      <c r="B25" s="40">
        <f>B26+B27+B28+B29+B30+B31+B32+B33+B34</f>
        <v>6650000</v>
      </c>
      <c r="C25" s="40">
        <f>C26+C27+C28+C29+C30+C31+C32+C33+C34</f>
        <v>7516192.4299999997</v>
      </c>
      <c r="D25" s="13">
        <f>SUM(D26:D34)</f>
        <v>0</v>
      </c>
      <c r="E25" s="13">
        <f t="shared" ref="E25:O25" si="6">SUM(E26:E34)</f>
        <v>23954</v>
      </c>
      <c r="F25" s="13">
        <f t="shared" si="6"/>
        <v>668196.24</v>
      </c>
      <c r="G25" s="13">
        <f t="shared" si="6"/>
        <v>297780.52</v>
      </c>
      <c r="H25" s="13">
        <f t="shared" si="6"/>
        <v>27815.360000000001</v>
      </c>
      <c r="I25" s="13">
        <f t="shared" si="6"/>
        <v>253794.55</v>
      </c>
      <c r="J25" s="13">
        <f t="shared" si="6"/>
        <v>1249172.24</v>
      </c>
      <c r="K25" s="13">
        <f t="shared" si="6"/>
        <v>678460.32</v>
      </c>
      <c r="L25" s="13">
        <f t="shared" si="6"/>
        <v>821100</v>
      </c>
      <c r="M25" s="13">
        <f t="shared" si="6"/>
        <v>681137.86</v>
      </c>
      <c r="N25" s="13">
        <f t="shared" si="6"/>
        <v>773892.69</v>
      </c>
      <c r="O25" s="13">
        <f t="shared" si="6"/>
        <v>1894436.3399999999</v>
      </c>
      <c r="P25" s="13">
        <f t="shared" si="2"/>
        <v>7369740.1199999992</v>
      </c>
    </row>
    <row r="26" spans="1:16" ht="30" x14ac:dyDescent="0.25">
      <c r="A26" s="5" t="s">
        <v>27</v>
      </c>
      <c r="B26" s="42">
        <f>200000+100000</f>
        <v>300000</v>
      </c>
      <c r="C26" s="42">
        <v>350318</v>
      </c>
      <c r="D26" s="17"/>
      <c r="E26" s="17">
        <v>23954</v>
      </c>
      <c r="F26" s="14"/>
      <c r="G26" s="46">
        <f>39300</f>
        <v>39300</v>
      </c>
      <c r="H26" s="46">
        <v>3600</v>
      </c>
      <c r="I26" s="46">
        <f>36063.9</f>
        <v>36063.9</v>
      </c>
      <c r="J26" s="46">
        <v>62799.44</v>
      </c>
      <c r="K26" s="52">
        <v>7200</v>
      </c>
      <c r="L26" s="46">
        <v>7200</v>
      </c>
      <c r="M26" s="46"/>
      <c r="N26" s="16">
        <v>132442.79999999999</v>
      </c>
      <c r="O26" s="16">
        <v>14400</v>
      </c>
      <c r="P26" s="43">
        <f t="shared" si="2"/>
        <v>326960.14</v>
      </c>
    </row>
    <row r="27" spans="1:16" x14ac:dyDescent="0.25">
      <c r="A27" s="5" t="s">
        <v>28</v>
      </c>
      <c r="B27" s="42">
        <f>100000+350000</f>
        <v>450000</v>
      </c>
      <c r="C27" s="42">
        <v>70835.259999999995</v>
      </c>
      <c r="D27" s="17"/>
      <c r="E27" s="17"/>
      <c r="F27" s="17"/>
      <c r="G27" s="14"/>
      <c r="H27" s="14"/>
      <c r="I27" s="14"/>
      <c r="J27" s="14"/>
      <c r="K27" s="14"/>
      <c r="L27" s="14"/>
      <c r="M27" s="20"/>
      <c r="N27" s="20"/>
      <c r="O27" s="20"/>
      <c r="P27" s="43">
        <f t="shared" si="2"/>
        <v>0</v>
      </c>
    </row>
    <row r="28" spans="1:16" ht="30" x14ac:dyDescent="0.25">
      <c r="A28" s="5" t="s">
        <v>29</v>
      </c>
      <c r="B28" s="42">
        <f>200000+400000</f>
        <v>600000</v>
      </c>
      <c r="C28" s="42">
        <v>211864.53</v>
      </c>
      <c r="D28" s="23"/>
      <c r="E28" s="23"/>
      <c r="F28" s="23"/>
      <c r="G28" s="46">
        <f>9322+3649.15</f>
        <v>12971.15</v>
      </c>
      <c r="H28" s="24"/>
      <c r="I28" s="46">
        <v>52321.2</v>
      </c>
      <c r="J28" s="46"/>
      <c r="K28" s="24">
        <v>68440</v>
      </c>
      <c r="L28" s="24"/>
      <c r="M28" s="24"/>
      <c r="N28" s="24">
        <v>77762</v>
      </c>
      <c r="O28" s="24"/>
      <c r="P28" s="43">
        <f t="shared" si="2"/>
        <v>211494.35</v>
      </c>
    </row>
    <row r="29" spans="1:16" x14ac:dyDescent="0.25">
      <c r="A29" s="5" t="s">
        <v>30</v>
      </c>
      <c r="B29" s="42"/>
      <c r="C29" s="42">
        <v>37000</v>
      </c>
      <c r="D29" s="17"/>
      <c r="E29" s="17"/>
      <c r="F29" s="17"/>
      <c r="G29" s="14"/>
      <c r="H29" s="14"/>
      <c r="I29" s="14"/>
      <c r="J29" s="14"/>
      <c r="K29" s="14">
        <v>36144.959999999999</v>
      </c>
      <c r="L29" s="14"/>
      <c r="N29" s="14"/>
      <c r="O29" s="14"/>
      <c r="P29" s="43">
        <f t="shared" si="2"/>
        <v>36144.959999999999</v>
      </c>
    </row>
    <row r="30" spans="1:16" ht="30" x14ac:dyDescent="0.25">
      <c r="A30" s="5" t="s">
        <v>31</v>
      </c>
      <c r="B30" s="42">
        <f>100000+100000</f>
        <v>200000</v>
      </c>
      <c r="C30" s="42">
        <v>198889</v>
      </c>
      <c r="D30" s="17"/>
      <c r="E30" s="17"/>
      <c r="F30" s="17"/>
      <c r="G30" s="46">
        <v>16284</v>
      </c>
      <c r="H30" s="14"/>
      <c r="I30" s="46">
        <v>62804.32</v>
      </c>
      <c r="J30" s="46"/>
      <c r="K30" s="14">
        <v>30401.52</v>
      </c>
      <c r="L30" s="14"/>
      <c r="M30" s="24"/>
      <c r="N30" s="16">
        <v>4248</v>
      </c>
      <c r="O30" s="16">
        <v>82604.72</v>
      </c>
      <c r="P30" s="43">
        <f t="shared" si="2"/>
        <v>196342.56</v>
      </c>
    </row>
    <row r="31" spans="1:16" ht="30" x14ac:dyDescent="0.25">
      <c r="A31" s="5" t="s">
        <v>32</v>
      </c>
      <c r="B31" s="42"/>
      <c r="C31" s="42"/>
      <c r="D31" s="17"/>
      <c r="E31" s="17"/>
      <c r="F31" s="17"/>
      <c r="G31" s="14"/>
      <c r="H31" s="14"/>
      <c r="I31" s="14"/>
      <c r="J31" s="14"/>
      <c r="K31" s="14"/>
      <c r="L31" s="14"/>
      <c r="M31" s="24"/>
      <c r="N31" s="14"/>
      <c r="O31" s="14"/>
      <c r="P31" s="43">
        <f t="shared" si="2"/>
        <v>0</v>
      </c>
    </row>
    <row r="32" spans="1:16" ht="30" x14ac:dyDescent="0.25">
      <c r="A32" s="5" t="s">
        <v>33</v>
      </c>
      <c r="B32" s="42">
        <f>2700000+50000</f>
        <v>2750000</v>
      </c>
      <c r="C32" s="42">
        <v>4514000</v>
      </c>
      <c r="D32" s="23"/>
      <c r="E32" s="23"/>
      <c r="F32" s="24"/>
      <c r="G32" s="24"/>
      <c r="H32" s="24"/>
      <c r="I32" s="24"/>
      <c r="J32" s="46">
        <v>1075525.5</v>
      </c>
      <c r="K32" s="46">
        <v>494280</v>
      </c>
      <c r="L32" s="46">
        <v>813900</v>
      </c>
      <c r="M32" s="46">
        <v>513900</v>
      </c>
      <c r="N32" s="55">
        <v>521358.37</v>
      </c>
      <c r="O32" s="16">
        <v>1094620</v>
      </c>
      <c r="P32" s="43">
        <f t="shared" si="2"/>
        <v>4513583.87</v>
      </c>
    </row>
    <row r="33" spans="1:21" ht="45" x14ac:dyDescent="0.25">
      <c r="A33" s="5" t="s">
        <v>34</v>
      </c>
      <c r="B33" s="42"/>
      <c r="C33" s="42"/>
      <c r="D33" s="17"/>
      <c r="E33" s="17"/>
      <c r="F33" s="17"/>
      <c r="G33" s="14"/>
      <c r="H33" s="14"/>
      <c r="I33" s="14"/>
      <c r="J33" s="14"/>
      <c r="K33" s="24"/>
      <c r="L33" s="14"/>
      <c r="M33" s="24"/>
      <c r="N33" s="24"/>
      <c r="O33" s="24"/>
      <c r="P33" s="43">
        <f t="shared" si="2"/>
        <v>0</v>
      </c>
    </row>
    <row r="34" spans="1:21" x14ac:dyDescent="0.25">
      <c r="A34" s="5" t="s">
        <v>35</v>
      </c>
      <c r="B34" s="42">
        <f>200000+1600000+25000+25000+100000+400000</f>
        <v>2350000</v>
      </c>
      <c r="C34" s="42">
        <v>2133285.64</v>
      </c>
      <c r="D34" s="17"/>
      <c r="E34" s="17"/>
      <c r="F34" s="17">
        <f>612394.04+55802.2</f>
        <v>668196.24</v>
      </c>
      <c r="G34" s="14">
        <f>173869.68+55355.69</f>
        <v>229225.37</v>
      </c>
      <c r="H34" s="14">
        <v>24215.360000000001</v>
      </c>
      <c r="I34" s="14">
        <f>4548.9+3687.5+94368.73</f>
        <v>102605.12999999999</v>
      </c>
      <c r="J34" s="14">
        <v>110847.3</v>
      </c>
      <c r="K34" s="14">
        <v>41993.84</v>
      </c>
      <c r="L34" s="14"/>
      <c r="M34" s="16">
        <v>167237.85999999999</v>
      </c>
      <c r="N34" s="16">
        <v>38081.519999999997</v>
      </c>
      <c r="O34" s="16">
        <v>702811.62</v>
      </c>
      <c r="P34" s="43">
        <f t="shared" si="2"/>
        <v>2085214.2400000002</v>
      </c>
    </row>
    <row r="35" spans="1:21" x14ac:dyDescent="0.25">
      <c r="A35" s="2" t="s">
        <v>36</v>
      </c>
      <c r="B35" s="40">
        <f t="shared" ref="B35:C35" si="7">B36+B37+B38+B39+B40+B41+B42</f>
        <v>4000003</v>
      </c>
      <c r="C35" s="40">
        <f t="shared" si="7"/>
        <v>5000</v>
      </c>
      <c r="D35" s="13">
        <f>SUM(D36:D42)</f>
        <v>0</v>
      </c>
      <c r="E35" s="13">
        <f t="shared" ref="E35:K35" si="8">SUM(E36:E42)</f>
        <v>0</v>
      </c>
      <c r="F35" s="13">
        <f t="shared" si="8"/>
        <v>0</v>
      </c>
      <c r="G35" s="13">
        <f t="shared" si="8"/>
        <v>0</v>
      </c>
      <c r="H35" s="13">
        <f t="shared" si="8"/>
        <v>0</v>
      </c>
      <c r="I35" s="13">
        <f t="shared" si="8"/>
        <v>0</v>
      </c>
      <c r="J35" s="13">
        <f t="shared" si="8"/>
        <v>0</v>
      </c>
      <c r="K35" s="13">
        <f t="shared" si="8"/>
        <v>0</v>
      </c>
      <c r="L35" s="13">
        <f t="shared" ref="L35:N35" si="9">SUM(L36:L42)</f>
        <v>0</v>
      </c>
      <c r="M35" s="13">
        <f t="shared" si="9"/>
        <v>0</v>
      </c>
      <c r="N35" s="13">
        <f t="shared" si="9"/>
        <v>0</v>
      </c>
      <c r="O35" s="13"/>
      <c r="P35" s="43">
        <f t="shared" si="2"/>
        <v>0</v>
      </c>
    </row>
    <row r="36" spans="1:21" ht="30" x14ac:dyDescent="0.25">
      <c r="A36" s="5" t="s">
        <v>37</v>
      </c>
      <c r="B36" s="42">
        <f>1000000+3000003</f>
        <v>4000003</v>
      </c>
      <c r="C36" s="42">
        <v>5000</v>
      </c>
      <c r="D36" s="43"/>
      <c r="E36" s="17"/>
      <c r="F36" s="17"/>
      <c r="G36" s="17"/>
      <c r="H36" s="17"/>
      <c r="I36" s="17"/>
      <c r="J36" s="17"/>
      <c r="K36" s="17"/>
      <c r="L36" s="17"/>
      <c r="M36" s="16"/>
      <c r="N36" s="16"/>
      <c r="O36" s="16"/>
      <c r="P36" s="43">
        <f t="shared" si="2"/>
        <v>0</v>
      </c>
    </row>
    <row r="37" spans="1:21" ht="30" x14ac:dyDescent="0.25">
      <c r="A37" s="5" t="s">
        <v>38</v>
      </c>
      <c r="B37" s="42"/>
      <c r="C37" s="42"/>
      <c r="D37" s="43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43">
        <f t="shared" si="2"/>
        <v>0</v>
      </c>
    </row>
    <row r="38" spans="1:21" ht="30" x14ac:dyDescent="0.25">
      <c r="A38" s="5" t="s">
        <v>39</v>
      </c>
      <c r="B38" s="42"/>
      <c r="C38" s="42"/>
      <c r="D38" s="43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43">
        <f t="shared" si="2"/>
        <v>0</v>
      </c>
    </row>
    <row r="39" spans="1:21" ht="30" x14ac:dyDescent="0.25">
      <c r="A39" s="5" t="s">
        <v>40</v>
      </c>
      <c r="B39" s="42"/>
      <c r="C39" s="42"/>
      <c r="D39" s="43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43">
        <f t="shared" si="2"/>
        <v>0</v>
      </c>
    </row>
    <row r="40" spans="1:21" ht="30" x14ac:dyDescent="0.25">
      <c r="A40" s="5" t="s">
        <v>41</v>
      </c>
      <c r="B40" s="42"/>
      <c r="C40" s="42"/>
      <c r="D40" s="43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43">
        <f t="shared" si="2"/>
        <v>0</v>
      </c>
    </row>
    <row r="41" spans="1:21" ht="30" x14ac:dyDescent="0.25">
      <c r="A41" s="5" t="s">
        <v>42</v>
      </c>
      <c r="B41" s="42"/>
      <c r="C41" s="42"/>
      <c r="D41" s="43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43">
        <f t="shared" si="2"/>
        <v>0</v>
      </c>
    </row>
    <row r="42" spans="1:21" ht="30" x14ac:dyDescent="0.25">
      <c r="A42" s="5" t="s">
        <v>43</v>
      </c>
      <c r="B42" s="42"/>
      <c r="C42" s="42"/>
      <c r="D42" s="43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3">
        <f t="shared" si="2"/>
        <v>0</v>
      </c>
    </row>
    <row r="43" spans="1:21" x14ac:dyDescent="0.25">
      <c r="A43" s="2" t="s">
        <v>44</v>
      </c>
      <c r="B43" s="40"/>
      <c r="C43" s="40"/>
      <c r="D43" s="13">
        <f>SUM(D44:D50)</f>
        <v>0</v>
      </c>
      <c r="E43" s="13">
        <f t="shared" ref="E43:U43" si="10">SUM(E44:E50)</f>
        <v>0</v>
      </c>
      <c r="F43" s="13">
        <f t="shared" si="10"/>
        <v>0</v>
      </c>
      <c r="G43" s="13">
        <f t="shared" si="10"/>
        <v>0</v>
      </c>
      <c r="H43" s="13">
        <f t="shared" si="10"/>
        <v>0</v>
      </c>
      <c r="I43" s="13">
        <f t="shared" si="10"/>
        <v>0</v>
      </c>
      <c r="J43" s="13">
        <f t="shared" si="10"/>
        <v>0</v>
      </c>
      <c r="K43" s="13">
        <f t="shared" si="10"/>
        <v>0</v>
      </c>
      <c r="L43" s="13">
        <f t="shared" si="10"/>
        <v>0</v>
      </c>
      <c r="M43" s="13">
        <f t="shared" si="10"/>
        <v>0</v>
      </c>
      <c r="N43" s="13">
        <f t="shared" si="10"/>
        <v>0</v>
      </c>
      <c r="O43" s="13">
        <f t="shared" si="10"/>
        <v>0</v>
      </c>
      <c r="P43" s="13">
        <f t="shared" si="2"/>
        <v>0</v>
      </c>
      <c r="Q43" s="13">
        <f t="shared" si="10"/>
        <v>0</v>
      </c>
      <c r="R43" s="13">
        <f t="shared" si="10"/>
        <v>0</v>
      </c>
      <c r="S43" s="13">
        <f t="shared" si="10"/>
        <v>0</v>
      </c>
      <c r="T43" s="13">
        <f t="shared" si="10"/>
        <v>0</v>
      </c>
      <c r="U43" s="13">
        <f t="shared" si="10"/>
        <v>0</v>
      </c>
    </row>
    <row r="44" spans="1:21" ht="30" x14ac:dyDescent="0.25">
      <c r="A44" s="5" t="s">
        <v>45</v>
      </c>
      <c r="B44" s="40"/>
      <c r="C44" s="40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3">
        <f t="shared" si="2"/>
        <v>0</v>
      </c>
    </row>
    <row r="45" spans="1:21" ht="30" x14ac:dyDescent="0.25">
      <c r="A45" s="5" t="s">
        <v>46</v>
      </c>
      <c r="B45" s="40"/>
      <c r="C45" s="40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3">
        <f t="shared" si="2"/>
        <v>0</v>
      </c>
    </row>
    <row r="46" spans="1:21" ht="30" x14ac:dyDescent="0.25">
      <c r="A46" s="5" t="s">
        <v>47</v>
      </c>
      <c r="B46" s="40"/>
      <c r="C46" s="40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3">
        <f t="shared" si="2"/>
        <v>0</v>
      </c>
    </row>
    <row r="47" spans="1:21" ht="30" x14ac:dyDescent="0.25">
      <c r="A47" s="5" t="s">
        <v>48</v>
      </c>
      <c r="B47" s="40"/>
      <c r="C47" s="40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3">
        <f t="shared" si="2"/>
        <v>0</v>
      </c>
    </row>
    <row r="48" spans="1:21" ht="30" x14ac:dyDescent="0.25">
      <c r="A48" s="5" t="s">
        <v>49</v>
      </c>
      <c r="B48" s="40"/>
      <c r="C48" s="40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3">
        <f t="shared" si="2"/>
        <v>0</v>
      </c>
    </row>
    <row r="49" spans="1:20" ht="30" x14ac:dyDescent="0.25">
      <c r="A49" s="5" t="s">
        <v>50</v>
      </c>
      <c r="B49" s="40"/>
      <c r="C49" s="40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3">
        <f t="shared" si="2"/>
        <v>0</v>
      </c>
    </row>
    <row r="50" spans="1:20" ht="30" x14ac:dyDescent="0.25">
      <c r="A50" s="5" t="s">
        <v>51</v>
      </c>
      <c r="B50" s="40"/>
      <c r="C50" s="40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3">
        <f t="shared" si="2"/>
        <v>0</v>
      </c>
    </row>
    <row r="51" spans="1:20" ht="30" x14ac:dyDescent="0.25">
      <c r="A51" s="2" t="s">
        <v>52</v>
      </c>
      <c r="B51" s="40">
        <f>B52+B53+B54+B55+B56+B57+B58+B59+B60</f>
        <v>710000</v>
      </c>
      <c r="C51" s="40">
        <f>C52+C53+C54+C55+C56+C57+C58+C59+C60</f>
        <v>9473272.7699999996</v>
      </c>
      <c r="D51" s="13">
        <f>SUM(D52:D60)</f>
        <v>0</v>
      </c>
      <c r="E51" s="13">
        <f t="shared" ref="E51:J51" si="11">SUM(E52:E60)</f>
        <v>0</v>
      </c>
      <c r="F51" s="13">
        <f t="shared" si="11"/>
        <v>17228</v>
      </c>
      <c r="G51" s="13">
        <f t="shared" si="11"/>
        <v>0</v>
      </c>
      <c r="H51" s="13">
        <f t="shared" si="11"/>
        <v>54769.7</v>
      </c>
      <c r="I51" s="13">
        <f t="shared" si="11"/>
        <v>28054.5</v>
      </c>
      <c r="J51" s="13">
        <f t="shared" si="11"/>
        <v>179124.5</v>
      </c>
      <c r="K51" s="13">
        <f t="shared" ref="K51:T51" si="12">SUM(K52:K60)</f>
        <v>480795.88</v>
      </c>
      <c r="L51" s="13">
        <f t="shared" si="12"/>
        <v>2175000</v>
      </c>
      <c r="M51" s="13">
        <f t="shared" si="12"/>
        <v>0</v>
      </c>
      <c r="N51" s="13">
        <f t="shared" si="12"/>
        <v>413425.09</v>
      </c>
      <c r="O51" s="13">
        <f t="shared" si="12"/>
        <v>6033927.9900000002</v>
      </c>
      <c r="P51" s="13">
        <f t="shared" si="2"/>
        <v>9382325.6600000001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</row>
    <row r="52" spans="1:20" x14ac:dyDescent="0.25">
      <c r="A52" s="5" t="s">
        <v>53</v>
      </c>
      <c r="B52" s="42">
        <f>200000+100000+200000+50000</f>
        <v>550000</v>
      </c>
      <c r="C52" s="42">
        <v>1732267.77</v>
      </c>
      <c r="D52" s="43"/>
      <c r="E52" s="17"/>
      <c r="F52" s="14">
        <v>17228</v>
      </c>
      <c r="G52" s="17"/>
      <c r="H52" s="17">
        <v>54769.7</v>
      </c>
      <c r="I52" s="17">
        <f>28054.5</f>
        <v>28054.5</v>
      </c>
      <c r="J52" s="17">
        <v>19942</v>
      </c>
      <c r="K52" s="17">
        <v>458375.88</v>
      </c>
      <c r="L52" s="17"/>
      <c r="M52" s="16"/>
      <c r="N52" s="17">
        <v>308625.09000000003</v>
      </c>
      <c r="O52" s="17">
        <v>754327.05</v>
      </c>
      <c r="P52" s="43">
        <f t="shared" si="2"/>
        <v>1641322.22</v>
      </c>
    </row>
    <row r="53" spans="1:20" ht="30" x14ac:dyDescent="0.25">
      <c r="A53" s="5" t="s">
        <v>54</v>
      </c>
      <c r="B53" s="42">
        <f>100000</f>
        <v>100000</v>
      </c>
      <c r="C53" s="42">
        <v>127220</v>
      </c>
      <c r="D53" s="43"/>
      <c r="E53" s="17"/>
      <c r="F53" s="17"/>
      <c r="G53" s="17"/>
      <c r="H53" s="17"/>
      <c r="I53" s="17"/>
      <c r="J53" s="17"/>
      <c r="K53" s="17">
        <v>22420</v>
      </c>
      <c r="L53" s="17"/>
      <c r="M53" s="17"/>
      <c r="N53" s="23">
        <v>104800</v>
      </c>
      <c r="O53" s="23"/>
      <c r="P53" s="13">
        <f t="shared" si="2"/>
        <v>127220</v>
      </c>
    </row>
    <row r="54" spans="1:20" ht="30" x14ac:dyDescent="0.25">
      <c r="A54" s="5" t="s">
        <v>55</v>
      </c>
      <c r="B54" s="42"/>
      <c r="C54" s="42"/>
      <c r="D54" s="43"/>
      <c r="E54" s="17"/>
      <c r="F54" s="17"/>
      <c r="G54" s="17"/>
      <c r="H54" s="17"/>
      <c r="I54" s="17"/>
      <c r="L54" s="17"/>
      <c r="N54" s="23"/>
      <c r="O54" s="23"/>
      <c r="P54" s="13">
        <f t="shared" si="2"/>
        <v>0</v>
      </c>
    </row>
    <row r="55" spans="1:20" ht="30" x14ac:dyDescent="0.25">
      <c r="A55" s="5" t="s">
        <v>56</v>
      </c>
      <c r="B55" s="42"/>
      <c r="C55" s="42">
        <v>5470000</v>
      </c>
      <c r="D55" s="43"/>
      <c r="E55" s="17"/>
      <c r="F55" s="17"/>
      <c r="G55" s="17"/>
      <c r="H55" s="17"/>
      <c r="I55" s="17"/>
      <c r="L55" s="17">
        <v>2175000</v>
      </c>
      <c r="N55" s="16"/>
      <c r="O55" s="16">
        <v>3294999.97</v>
      </c>
      <c r="P55" s="13">
        <f t="shared" si="2"/>
        <v>5469999.9700000007</v>
      </c>
    </row>
    <row r="56" spans="1:20" ht="30" x14ac:dyDescent="0.25">
      <c r="A56" s="5" t="s">
        <v>57</v>
      </c>
      <c r="B56" s="42">
        <v>60000</v>
      </c>
      <c r="C56" s="42">
        <v>939718</v>
      </c>
      <c r="D56" s="43"/>
      <c r="E56" s="17"/>
      <c r="F56" s="17"/>
      <c r="G56" s="17"/>
      <c r="H56" s="17"/>
      <c r="I56" s="17"/>
      <c r="J56" s="17">
        <v>159182.5</v>
      </c>
      <c r="L56" s="17"/>
      <c r="M56" s="16"/>
      <c r="N56" s="17"/>
      <c r="O56" s="17">
        <v>780534.6</v>
      </c>
      <c r="P56" s="13">
        <f t="shared" si="2"/>
        <v>939717.1</v>
      </c>
    </row>
    <row r="57" spans="1:20" ht="30" x14ac:dyDescent="0.25">
      <c r="A57" s="5" t="s">
        <v>58</v>
      </c>
      <c r="B57" s="42"/>
      <c r="C57" s="42">
        <v>12067</v>
      </c>
      <c r="D57" s="43"/>
      <c r="E57" s="17"/>
      <c r="F57" s="17"/>
      <c r="G57" s="17"/>
      <c r="H57" s="17"/>
      <c r="I57" s="17"/>
      <c r="J57" s="17"/>
      <c r="L57" s="17"/>
      <c r="N57" s="17"/>
      <c r="O57" s="17">
        <v>12066.37</v>
      </c>
      <c r="P57" s="13">
        <f t="shared" si="2"/>
        <v>12066.37</v>
      </c>
    </row>
    <row r="58" spans="1:20" ht="30" x14ac:dyDescent="0.25">
      <c r="A58" s="5" t="s">
        <v>59</v>
      </c>
      <c r="B58" s="42"/>
      <c r="C58" s="42"/>
      <c r="D58" s="43"/>
      <c r="E58" s="17"/>
      <c r="F58" s="17"/>
      <c r="G58" s="17"/>
      <c r="H58" s="17"/>
      <c r="I58" s="17"/>
      <c r="L58" s="17"/>
      <c r="N58" s="17"/>
      <c r="O58" s="17"/>
      <c r="P58" s="13">
        <f t="shared" si="2"/>
        <v>0</v>
      </c>
    </row>
    <row r="59" spans="1:20" x14ac:dyDescent="0.25">
      <c r="A59" s="5" t="s">
        <v>60</v>
      </c>
      <c r="B59" s="42"/>
      <c r="C59" s="42">
        <v>1192000</v>
      </c>
      <c r="D59" s="43"/>
      <c r="E59" s="17"/>
      <c r="F59" s="17"/>
      <c r="G59" s="17"/>
      <c r="H59" s="17"/>
      <c r="I59" s="17"/>
      <c r="J59" s="17"/>
      <c r="L59" s="17"/>
      <c r="M59" s="17"/>
      <c r="N59" s="17"/>
      <c r="O59" s="17">
        <v>1192000</v>
      </c>
      <c r="P59" s="13">
        <f t="shared" si="2"/>
        <v>1192000</v>
      </c>
    </row>
    <row r="60" spans="1:20" ht="45" x14ac:dyDescent="0.25">
      <c r="A60" s="5" t="s">
        <v>61</v>
      </c>
      <c r="B60" s="42"/>
      <c r="C60" s="42"/>
      <c r="D60" s="43"/>
      <c r="E60" s="17"/>
      <c r="F60" s="17"/>
      <c r="G60" s="17"/>
      <c r="H60" s="17"/>
      <c r="I60" s="17"/>
      <c r="J60" s="17"/>
      <c r="L60" s="17"/>
      <c r="N60" s="17"/>
      <c r="O60" s="17"/>
      <c r="P60" s="13">
        <f t="shared" si="2"/>
        <v>0</v>
      </c>
    </row>
    <row r="61" spans="1:20" x14ac:dyDescent="0.25">
      <c r="A61" s="2" t="s">
        <v>62</v>
      </c>
      <c r="B61" s="40">
        <f>B62+B63+B64+B65</f>
        <v>0</v>
      </c>
      <c r="C61" s="40"/>
      <c r="D61" s="17">
        <f>SUM(D62:D65)</f>
        <v>0</v>
      </c>
      <c r="E61" s="17">
        <f t="shared" ref="E61:J61" si="13">SUM(E62:E65)</f>
        <v>0</v>
      </c>
      <c r="F61" s="17">
        <f t="shared" si="13"/>
        <v>0</v>
      </c>
      <c r="G61" s="17">
        <f t="shared" si="13"/>
        <v>0</v>
      </c>
      <c r="H61" s="17">
        <f t="shared" si="13"/>
        <v>0</v>
      </c>
      <c r="I61" s="17">
        <f t="shared" si="13"/>
        <v>0</v>
      </c>
      <c r="J61" s="17">
        <f t="shared" si="13"/>
        <v>0</v>
      </c>
      <c r="K61" s="17">
        <f t="shared" ref="K61:M61" si="14">SUM(K62:K65)</f>
        <v>0</v>
      </c>
      <c r="L61" s="17">
        <f t="shared" si="14"/>
        <v>0</v>
      </c>
      <c r="M61" s="17">
        <f t="shared" si="14"/>
        <v>0</v>
      </c>
      <c r="N61" s="17"/>
      <c r="O61" s="17">
        <v>0</v>
      </c>
      <c r="P61" s="13">
        <f t="shared" si="2"/>
        <v>0</v>
      </c>
    </row>
    <row r="62" spans="1:20" x14ac:dyDescent="0.25">
      <c r="A62" s="5" t="s">
        <v>63</v>
      </c>
      <c r="B62" s="40"/>
      <c r="C62" s="40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3">
        <f t="shared" si="2"/>
        <v>0</v>
      </c>
    </row>
    <row r="63" spans="1:20" x14ac:dyDescent="0.25">
      <c r="A63" s="5" t="s">
        <v>64</v>
      </c>
      <c r="B63" s="40"/>
      <c r="C63" s="40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3">
        <f t="shared" si="2"/>
        <v>0</v>
      </c>
    </row>
    <row r="64" spans="1:20" ht="30" x14ac:dyDescent="0.25">
      <c r="A64" s="5" t="s">
        <v>65</v>
      </c>
      <c r="B64" s="40"/>
      <c r="C64" s="40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3">
        <f t="shared" si="2"/>
        <v>0</v>
      </c>
    </row>
    <row r="65" spans="1:76" ht="45" x14ac:dyDescent="0.25">
      <c r="A65" s="5" t="s">
        <v>66</v>
      </c>
      <c r="B65" s="40"/>
      <c r="C65" s="40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3">
        <f t="shared" si="2"/>
        <v>0</v>
      </c>
    </row>
    <row r="66" spans="1:76" ht="30" x14ac:dyDescent="0.25">
      <c r="A66" s="2" t="s">
        <v>67</v>
      </c>
      <c r="B66" s="40">
        <f>B67+B68</f>
        <v>0</v>
      </c>
      <c r="C66" s="40">
        <f>C67+C68</f>
        <v>0</v>
      </c>
      <c r="D66" s="17">
        <f>SUM(D67:D68)</f>
        <v>0</v>
      </c>
      <c r="E66" s="17">
        <f t="shared" ref="E66:K66" si="15">SUM(E67:E68)</f>
        <v>0</v>
      </c>
      <c r="F66" s="17">
        <f t="shared" si="15"/>
        <v>0</v>
      </c>
      <c r="G66" s="17">
        <f t="shared" si="15"/>
        <v>0</v>
      </c>
      <c r="H66" s="17">
        <f t="shared" si="15"/>
        <v>0</v>
      </c>
      <c r="I66" s="17">
        <f t="shared" si="15"/>
        <v>0</v>
      </c>
      <c r="J66" s="17">
        <f t="shared" si="15"/>
        <v>0</v>
      </c>
      <c r="K66" s="17">
        <f t="shared" si="15"/>
        <v>0</v>
      </c>
      <c r="L66" s="17">
        <f t="shared" ref="L66:V66" si="16">SUM(L67:L68)</f>
        <v>0</v>
      </c>
      <c r="M66" s="17">
        <f t="shared" si="16"/>
        <v>0</v>
      </c>
      <c r="N66" s="17"/>
      <c r="O66" s="17">
        <v>0</v>
      </c>
      <c r="P66" s="13">
        <f t="shared" si="2"/>
        <v>0</v>
      </c>
      <c r="Q66" s="17">
        <f t="shared" si="16"/>
        <v>0</v>
      </c>
      <c r="R66" s="17">
        <f t="shared" si="16"/>
        <v>0</v>
      </c>
      <c r="S66" s="17">
        <f t="shared" si="16"/>
        <v>0</v>
      </c>
      <c r="T66" s="17">
        <f t="shared" si="16"/>
        <v>0</v>
      </c>
      <c r="U66" s="17">
        <f t="shared" si="16"/>
        <v>0</v>
      </c>
      <c r="V66" s="17">
        <f t="shared" si="16"/>
        <v>0</v>
      </c>
    </row>
    <row r="67" spans="1:76" x14ac:dyDescent="0.25">
      <c r="A67" s="5" t="s">
        <v>68</v>
      </c>
      <c r="B67" s="40"/>
      <c r="C67" s="40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3">
        <f t="shared" si="2"/>
        <v>0</v>
      </c>
    </row>
    <row r="68" spans="1:76" ht="30" x14ac:dyDescent="0.25">
      <c r="A68" s="5" t="s">
        <v>69</v>
      </c>
      <c r="B68" s="40"/>
      <c r="C68" s="40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3">
        <f t="shared" si="2"/>
        <v>0</v>
      </c>
    </row>
    <row r="69" spans="1:76" x14ac:dyDescent="0.25">
      <c r="A69" s="2" t="s">
        <v>70</v>
      </c>
      <c r="B69" s="40">
        <f>B70+B71+B72</f>
        <v>0</v>
      </c>
      <c r="C69" s="40">
        <f>C70+C71+C72</f>
        <v>0</v>
      </c>
      <c r="D69" s="17">
        <f>SUM(D70:D72)</f>
        <v>0</v>
      </c>
      <c r="E69" s="17">
        <f t="shared" ref="E69:L69" si="17">SUM(E70:E72)</f>
        <v>0</v>
      </c>
      <c r="F69" s="17">
        <f t="shared" si="17"/>
        <v>0</v>
      </c>
      <c r="G69" s="17">
        <f t="shared" si="17"/>
        <v>0</v>
      </c>
      <c r="H69" s="17">
        <f t="shared" si="17"/>
        <v>0</v>
      </c>
      <c r="I69" s="17">
        <f t="shared" si="17"/>
        <v>0</v>
      </c>
      <c r="J69" s="17">
        <f t="shared" si="17"/>
        <v>0</v>
      </c>
      <c r="K69" s="17">
        <f t="shared" si="17"/>
        <v>0</v>
      </c>
      <c r="L69" s="17">
        <f t="shared" si="17"/>
        <v>0</v>
      </c>
      <c r="M69" s="17">
        <v>0</v>
      </c>
      <c r="N69" s="17">
        <v>0</v>
      </c>
      <c r="O69" s="17"/>
      <c r="P69" s="13">
        <f t="shared" si="2"/>
        <v>0</v>
      </c>
    </row>
    <row r="70" spans="1:76" ht="30" x14ac:dyDescent="0.25">
      <c r="A70" s="5" t="s">
        <v>71</v>
      </c>
      <c r="B70" s="40"/>
      <c r="C70" s="40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3">
        <f t="shared" si="2"/>
        <v>0</v>
      </c>
    </row>
    <row r="71" spans="1:76" ht="30" x14ac:dyDescent="0.25">
      <c r="A71" s="5" t="s">
        <v>72</v>
      </c>
      <c r="B71" s="40"/>
      <c r="C71" s="40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3">
        <f t="shared" si="2"/>
        <v>0</v>
      </c>
    </row>
    <row r="72" spans="1:76" ht="30" x14ac:dyDescent="0.25">
      <c r="A72" s="5" t="s">
        <v>73</v>
      </c>
      <c r="B72" s="40"/>
      <c r="C72" s="40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3">
        <f t="shared" si="2"/>
        <v>0</v>
      </c>
    </row>
    <row r="73" spans="1:76" x14ac:dyDescent="0.25">
      <c r="A73" s="7" t="s">
        <v>74</v>
      </c>
      <c r="B73" s="18">
        <f>+B9+B15+B25+B35+B43+B51+B61+B66+B69</f>
        <v>186188488</v>
      </c>
      <c r="C73" s="18">
        <f>+C9+C15+C25+C35+C43+C51+C61+C66+C69</f>
        <v>226212396.00000003</v>
      </c>
      <c r="D73" s="18">
        <f>+D9+D15+D25+D35+D43+D51+D61+D66+D69</f>
        <v>9033126.0500000007</v>
      </c>
      <c r="E73" s="18">
        <f t="shared" ref="E73:K73" si="18">+E9+E15+E25+E35+E43+E51+E61+E66+E69</f>
        <v>10679896.669999998</v>
      </c>
      <c r="F73" s="18">
        <f t="shared" si="18"/>
        <v>12658498.360000001</v>
      </c>
      <c r="G73" s="18">
        <f t="shared" si="18"/>
        <v>10585240.479999999</v>
      </c>
      <c r="H73" s="18">
        <f t="shared" si="18"/>
        <v>14125469.989999998</v>
      </c>
      <c r="I73" s="18">
        <f t="shared" si="18"/>
        <v>17131068.400000002</v>
      </c>
      <c r="J73" s="18">
        <f t="shared" si="18"/>
        <v>17597285.82</v>
      </c>
      <c r="K73" s="18">
        <f t="shared" si="18"/>
        <v>17379341.84</v>
      </c>
      <c r="L73" s="18">
        <f t="shared" ref="L73:N73" si="19">+L9+L15+L25+L35+L43+L51+L61+L66+L69</f>
        <v>18424729.57</v>
      </c>
      <c r="M73" s="18">
        <f>+M9+M15+M25+M35+M43+M51+M61+M66+M69</f>
        <v>11875977.639999999</v>
      </c>
      <c r="N73" s="18">
        <f t="shared" si="19"/>
        <v>23408594.93</v>
      </c>
      <c r="O73" s="18">
        <f>+O9+O15+O25+O35+O43+O51+O61+O66+O69</f>
        <v>62116802.740000002</v>
      </c>
      <c r="P73" s="47">
        <f t="shared" si="2"/>
        <v>225016032.49000001</v>
      </c>
    </row>
    <row r="74" spans="1:76" x14ac:dyDescent="0.25">
      <c r="A74" s="33"/>
      <c r="B74" s="41"/>
      <c r="C74" s="41"/>
      <c r="D74" s="34"/>
      <c r="E74" s="34"/>
      <c r="F74" s="34"/>
      <c r="G74" s="34"/>
      <c r="H74" s="34"/>
      <c r="I74" s="34"/>
      <c r="J74" s="34"/>
      <c r="K74" s="34"/>
      <c r="L74" s="30"/>
      <c r="M74" s="30"/>
      <c r="N74" s="30"/>
      <c r="O74" s="30"/>
      <c r="P74" s="47">
        <f t="shared" ref="P74:P89" si="20">SUM(D74:O74)</f>
        <v>0</v>
      </c>
    </row>
    <row r="75" spans="1:76" x14ac:dyDescent="0.25">
      <c r="A75" s="3"/>
      <c r="B75" s="40"/>
      <c r="C75" s="40"/>
      <c r="D75" s="17"/>
      <c r="E75" s="14"/>
      <c r="F75" s="14"/>
      <c r="G75" s="17">
        <v>0</v>
      </c>
      <c r="P75" s="13">
        <f t="shared" si="20"/>
        <v>0</v>
      </c>
    </row>
    <row r="76" spans="1:76" x14ac:dyDescent="0.25">
      <c r="A76" s="3"/>
      <c r="B76" s="40"/>
      <c r="C76" s="40"/>
      <c r="D76" s="17"/>
      <c r="E76" s="14"/>
      <c r="F76" s="14"/>
      <c r="G76" s="17"/>
      <c r="P76" s="13">
        <f t="shared" si="20"/>
        <v>0</v>
      </c>
    </row>
    <row r="77" spans="1:76" x14ac:dyDescent="0.25">
      <c r="A77" s="3"/>
      <c r="B77" s="40"/>
      <c r="C77" s="40"/>
      <c r="D77" s="17"/>
      <c r="E77" s="14"/>
      <c r="F77" s="14"/>
      <c r="G77" s="17"/>
      <c r="P77" s="13">
        <f t="shared" si="20"/>
        <v>0</v>
      </c>
    </row>
    <row r="78" spans="1:76" s="39" customFormat="1" x14ac:dyDescent="0.25">
      <c r="A78" s="36" t="s">
        <v>75</v>
      </c>
      <c r="B78" s="41"/>
      <c r="C78" s="41"/>
      <c r="D78" s="37"/>
      <c r="E78" s="37"/>
      <c r="F78" s="37"/>
      <c r="G78" s="38">
        <v>0</v>
      </c>
      <c r="H78" s="38"/>
      <c r="I78" s="38"/>
      <c r="J78" s="38"/>
      <c r="K78" s="38"/>
      <c r="L78" s="38"/>
      <c r="M78" s="38"/>
      <c r="N78" s="38"/>
      <c r="O78" s="38"/>
      <c r="P78" s="47">
        <f t="shared" si="20"/>
        <v>0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ht="30" x14ac:dyDescent="0.25">
      <c r="A79" s="2" t="s">
        <v>76</v>
      </c>
      <c r="B79" s="40"/>
      <c r="C79" s="40"/>
      <c r="D79" s="13">
        <f>-SUM(D80:D86)</f>
        <v>0</v>
      </c>
      <c r="E79" s="13">
        <f t="shared" ref="E79:N79" si="21">-SUM(E80:E86)</f>
        <v>0</v>
      </c>
      <c r="F79" s="13"/>
      <c r="G79" s="13">
        <v>0</v>
      </c>
      <c r="H79" s="13">
        <f t="shared" si="21"/>
        <v>0</v>
      </c>
      <c r="I79" s="35"/>
      <c r="J79" s="13">
        <f t="shared" si="21"/>
        <v>0</v>
      </c>
      <c r="K79" s="13">
        <v>0</v>
      </c>
      <c r="L79" s="13">
        <f t="shared" si="21"/>
        <v>0</v>
      </c>
      <c r="M79" s="13">
        <f t="shared" si="21"/>
        <v>0</v>
      </c>
      <c r="N79" s="13">
        <f t="shared" si="21"/>
        <v>0</v>
      </c>
      <c r="O79" s="13"/>
      <c r="P79" s="13">
        <f t="shared" si="20"/>
        <v>0</v>
      </c>
    </row>
    <row r="80" spans="1:76" ht="30" x14ac:dyDescent="0.25">
      <c r="A80" s="5" t="s">
        <v>77</v>
      </c>
      <c r="B80" s="40"/>
      <c r="C80" s="40"/>
      <c r="D80" s="17"/>
      <c r="E80" s="17"/>
      <c r="F80" s="14"/>
      <c r="G80" s="17"/>
      <c r="H80" s="17"/>
      <c r="K80" s="13"/>
      <c r="P80" s="13">
        <f t="shared" si="20"/>
        <v>0</v>
      </c>
    </row>
    <row r="81" spans="1:20" ht="30" x14ac:dyDescent="0.25">
      <c r="A81" s="5" t="s">
        <v>78</v>
      </c>
      <c r="B81" s="40"/>
      <c r="C81" s="40"/>
      <c r="D81" s="17"/>
      <c r="E81" s="17"/>
      <c r="F81" s="14"/>
      <c r="G81" s="17"/>
      <c r="K81" s="13"/>
      <c r="P81" s="13">
        <f t="shared" si="20"/>
        <v>0</v>
      </c>
    </row>
    <row r="82" spans="1:20" x14ac:dyDescent="0.25">
      <c r="A82" s="2" t="s">
        <v>79</v>
      </c>
      <c r="B82" s="40"/>
      <c r="C82" s="40"/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si="20"/>
        <v>0</v>
      </c>
      <c r="Q82" s="16"/>
    </row>
    <row r="83" spans="1:20" ht="30" x14ac:dyDescent="0.25">
      <c r="A83" s="5" t="s">
        <v>80</v>
      </c>
      <c r="B83" s="40"/>
      <c r="C83" s="40"/>
      <c r="D83" s="17"/>
      <c r="E83" s="17"/>
      <c r="F83" s="14"/>
      <c r="K83" s="13">
        <v>0</v>
      </c>
      <c r="P83" s="13">
        <f t="shared" si="20"/>
        <v>0</v>
      </c>
      <c r="Q83" s="14"/>
    </row>
    <row r="84" spans="1:20" ht="30" x14ac:dyDescent="0.25">
      <c r="A84" s="5" t="s">
        <v>81</v>
      </c>
      <c r="B84" s="40"/>
      <c r="C84" s="40"/>
      <c r="D84" s="17"/>
      <c r="E84" s="17"/>
      <c r="F84" s="14"/>
      <c r="K84" s="13"/>
      <c r="P84" s="13">
        <f t="shared" si="20"/>
        <v>0</v>
      </c>
      <c r="Q84" s="16"/>
    </row>
    <row r="85" spans="1:20" ht="30" x14ac:dyDescent="0.25">
      <c r="A85" s="2" t="s">
        <v>82</v>
      </c>
      <c r="B85" s="40"/>
      <c r="C85" s="40"/>
      <c r="D85" s="13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f t="shared" si="20"/>
        <v>0</v>
      </c>
      <c r="Q85" s="17"/>
      <c r="R85" s="17"/>
      <c r="S85" s="17"/>
      <c r="T85" s="17"/>
    </row>
    <row r="86" spans="1:20" ht="30" x14ac:dyDescent="0.25">
      <c r="A86" s="5" t="s">
        <v>83</v>
      </c>
      <c r="B86" s="40"/>
      <c r="C86" s="40"/>
      <c r="D86" s="17"/>
      <c r="E86" s="17"/>
      <c r="F86" s="14"/>
      <c r="K86" s="13"/>
      <c r="P86" s="13">
        <f t="shared" si="20"/>
        <v>0</v>
      </c>
      <c r="Q86" s="14"/>
    </row>
    <row r="87" spans="1:20" x14ac:dyDescent="0.25">
      <c r="A87" s="7" t="s">
        <v>84</v>
      </c>
      <c r="B87" s="41"/>
      <c r="C87" s="41"/>
      <c r="D87" s="18"/>
      <c r="E87" s="18"/>
      <c r="F87" s="18"/>
      <c r="G87" s="4"/>
      <c r="H87" s="4"/>
      <c r="I87" s="4"/>
      <c r="J87" s="4"/>
      <c r="K87" s="4"/>
      <c r="L87" s="4"/>
      <c r="M87" s="4"/>
      <c r="N87" s="4"/>
      <c r="O87" s="4"/>
      <c r="P87" s="47">
        <f t="shared" si="20"/>
        <v>0</v>
      </c>
    </row>
    <row r="88" spans="1:20" x14ac:dyDescent="0.25">
      <c r="B88" s="40"/>
      <c r="C88" s="40"/>
      <c r="D88" s="14"/>
      <c r="E88" s="14"/>
      <c r="F88" s="14"/>
      <c r="P88" s="13">
        <f t="shared" si="20"/>
        <v>0</v>
      </c>
      <c r="Q88" s="16"/>
    </row>
    <row r="89" spans="1:20" ht="31.5" x14ac:dyDescent="0.25">
      <c r="A89" s="8" t="s">
        <v>85</v>
      </c>
      <c r="B89" s="19">
        <f t="shared" ref="B89:O89" si="22">+B73+B87</f>
        <v>186188488</v>
      </c>
      <c r="C89" s="19">
        <f t="shared" si="22"/>
        <v>226212396.00000003</v>
      </c>
      <c r="D89" s="19">
        <f t="shared" si="22"/>
        <v>9033126.0500000007</v>
      </c>
      <c r="E89" s="19">
        <f t="shared" si="22"/>
        <v>10679896.669999998</v>
      </c>
      <c r="F89" s="19">
        <f t="shared" si="22"/>
        <v>12658498.360000001</v>
      </c>
      <c r="G89" s="19">
        <f t="shared" si="22"/>
        <v>10585240.479999999</v>
      </c>
      <c r="H89" s="19">
        <f t="shared" si="22"/>
        <v>14125469.989999998</v>
      </c>
      <c r="I89" s="19">
        <f t="shared" si="22"/>
        <v>17131068.400000002</v>
      </c>
      <c r="J89" s="19">
        <f t="shared" si="22"/>
        <v>17597285.82</v>
      </c>
      <c r="K89" s="19">
        <f t="shared" si="22"/>
        <v>17379341.84</v>
      </c>
      <c r="L89" s="19">
        <f t="shared" si="22"/>
        <v>18424729.57</v>
      </c>
      <c r="M89" s="19">
        <f t="shared" si="22"/>
        <v>11875977.639999999</v>
      </c>
      <c r="N89" s="19">
        <f t="shared" si="22"/>
        <v>23408594.93</v>
      </c>
      <c r="O89" s="19">
        <f t="shared" si="22"/>
        <v>62116802.740000002</v>
      </c>
      <c r="P89" s="48">
        <f t="shared" si="20"/>
        <v>225016032.49000001</v>
      </c>
    </row>
    <row r="90" spans="1:20" x14ac:dyDescent="0.25">
      <c r="A90" t="s">
        <v>112</v>
      </c>
      <c r="D90" s="14"/>
      <c r="E90" s="14"/>
      <c r="F90" s="14"/>
    </row>
    <row r="91" spans="1:20" x14ac:dyDescent="0.25">
      <c r="A91" t="s">
        <v>124</v>
      </c>
      <c r="D91" s="14"/>
      <c r="E91" s="14"/>
      <c r="F91" s="14"/>
    </row>
    <row r="92" spans="1:20" x14ac:dyDescent="0.25">
      <c r="A92" t="s">
        <v>125</v>
      </c>
      <c r="D92" s="14"/>
      <c r="E92" s="14"/>
      <c r="F92" s="14" t="s">
        <v>87</v>
      </c>
      <c r="J92" s="16"/>
    </row>
    <row r="93" spans="1:20" x14ac:dyDescent="0.25">
      <c r="C93" s="16"/>
      <c r="D93" s="14"/>
      <c r="E93" s="14"/>
      <c r="F93" s="14"/>
      <c r="J93" s="16"/>
      <c r="K93" s="16">
        <f>K89-17379341.84</f>
        <v>0</v>
      </c>
    </row>
    <row r="94" spans="1:20" x14ac:dyDescent="0.25">
      <c r="D94" s="14"/>
      <c r="E94" s="14"/>
      <c r="F94" s="14"/>
    </row>
    <row r="95" spans="1:20" x14ac:dyDescent="0.25">
      <c r="D95" s="14"/>
      <c r="E95" s="14"/>
      <c r="F95" s="14"/>
      <c r="P95" t="s">
        <v>87</v>
      </c>
    </row>
    <row r="97" spans="1:17" x14ac:dyDescent="0.25">
      <c r="A97" t="s">
        <v>88</v>
      </c>
      <c r="H97" t="s">
        <v>89</v>
      </c>
      <c r="M97" t="s">
        <v>113</v>
      </c>
    </row>
    <row r="102" spans="1:17" x14ac:dyDescent="0.25">
      <c r="A102" s="22"/>
      <c r="H102" s="22"/>
      <c r="I102" s="22"/>
      <c r="M102" s="22"/>
      <c r="N102" s="22"/>
      <c r="O102" s="22"/>
    </row>
    <row r="103" spans="1:17" x14ac:dyDescent="0.25">
      <c r="A103" s="21" t="s">
        <v>121</v>
      </c>
      <c r="B103" s="21"/>
      <c r="C103" s="21"/>
      <c r="H103" s="21" t="s">
        <v>92</v>
      </c>
      <c r="M103" s="21" t="s">
        <v>116</v>
      </c>
    </row>
    <row r="104" spans="1:17" x14ac:dyDescent="0.25">
      <c r="A104" t="s">
        <v>115</v>
      </c>
      <c r="H104" t="s">
        <v>93</v>
      </c>
      <c r="M104" t="s">
        <v>119</v>
      </c>
    </row>
    <row r="110" spans="1:17" ht="18.75" x14ac:dyDescent="0.3">
      <c r="A110" s="63"/>
      <c r="B110" s="63"/>
      <c r="C110" s="63"/>
      <c r="D110" s="63"/>
      <c r="E110" s="63"/>
      <c r="F110" s="63"/>
      <c r="G110" s="63"/>
      <c r="H110" s="63"/>
      <c r="I110" s="59"/>
      <c r="J110" s="59"/>
      <c r="K110" s="59"/>
    </row>
    <row r="111" spans="1:17" ht="18.75" x14ac:dyDescent="0.3">
      <c r="A111" s="63"/>
      <c r="B111" s="63"/>
      <c r="C111" s="63"/>
      <c r="D111" s="63"/>
      <c r="E111" s="63"/>
      <c r="F111" s="63"/>
      <c r="G111" s="63"/>
      <c r="H111" s="63"/>
    </row>
    <row r="112" spans="1:17" ht="18.75" x14ac:dyDescent="0.3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</row>
    <row r="113" spans="1:17" ht="18.75" x14ac:dyDescent="0.3">
      <c r="A113" s="53"/>
      <c r="B113" s="53"/>
      <c r="C113" s="54"/>
      <c r="D113" s="53"/>
      <c r="E113" s="53"/>
      <c r="F113" s="6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</row>
    <row r="114" spans="1:17" ht="18.75" x14ac:dyDescent="0.3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</row>
    <row r="115" spans="1:17" ht="18.75" x14ac:dyDescent="0.3">
      <c r="A115" s="53"/>
      <c r="B115" s="53"/>
      <c r="C115" s="53"/>
      <c r="D115" s="54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</row>
    <row r="116" spans="1:17" ht="18.75" x14ac:dyDescent="0.3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</row>
    <row r="117" spans="1:17" ht="18.75" x14ac:dyDescent="0.3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</row>
    <row r="119" spans="1:17" x14ac:dyDescent="0.25">
      <c r="F119" s="16"/>
    </row>
    <row r="120" spans="1:17" x14ac:dyDescent="0.25">
      <c r="F120" s="16"/>
    </row>
    <row r="127" spans="1:17" x14ac:dyDescent="0.25">
      <c r="H127" s="16"/>
    </row>
  </sheetData>
  <mergeCells count="7">
    <mergeCell ref="A1:P1"/>
    <mergeCell ref="A110:K110"/>
    <mergeCell ref="A111:H111"/>
    <mergeCell ref="A2:P2"/>
    <mergeCell ref="A4:P4"/>
    <mergeCell ref="A3:P3"/>
    <mergeCell ref="A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A5E479-2704-43B0-999B-EBD962D6EE23}"/>
</file>

<file path=customXml/itemProps2.xml><?xml version="1.0" encoding="utf-8"?>
<ds:datastoreItem xmlns:ds="http://schemas.openxmlformats.org/officeDocument/2006/customXml" ds:itemID="{BA12E400-5EBF-4030-AB1A-406017A8E1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Driades Ferreras Gómez</cp:lastModifiedBy>
  <cp:revision/>
  <cp:lastPrinted>2023-01-04T20:36:30Z</cp:lastPrinted>
  <dcterms:created xsi:type="dcterms:W3CDTF">2018-04-17T18:57:16Z</dcterms:created>
  <dcterms:modified xsi:type="dcterms:W3CDTF">2023-01-13T21:31:34Z</dcterms:modified>
  <cp:category/>
  <cp:contentStatus/>
</cp:coreProperties>
</file>