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251170A8-E723-43BB-8364-9B891791222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3" l="1"/>
  <c r="K18" i="3"/>
  <c r="K16" i="3"/>
  <c r="K10" i="3"/>
  <c r="K11" i="3"/>
  <c r="C51" i="2"/>
  <c r="J11" i="3"/>
  <c r="J10" i="3"/>
  <c r="I52" i="3"/>
  <c r="I34" i="3"/>
  <c r="I26" i="3"/>
  <c r="I22" i="3"/>
  <c r="I24" i="3"/>
  <c r="I23" i="3"/>
  <c r="I16" i="3"/>
  <c r="I14" i="3"/>
  <c r="I11" i="3"/>
  <c r="H10" i="3" l="1"/>
  <c r="G10" i="3"/>
  <c r="C9" i="3"/>
  <c r="C25" i="3"/>
  <c r="P11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C36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C30" i="3"/>
  <c r="B30" i="3"/>
  <c r="B28" i="3"/>
  <c r="C27" i="3"/>
  <c r="C26" i="3"/>
  <c r="C15" i="3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C25" i="2"/>
  <c r="D10" i="3"/>
  <c r="E16" i="3"/>
  <c r="E10" i="3"/>
  <c r="E14" i="3"/>
  <c r="B34" i="2"/>
  <c r="B24" i="2"/>
  <c r="B23" i="2"/>
  <c r="B17" i="2"/>
  <c r="B14" i="2"/>
  <c r="B10" i="2"/>
  <c r="P10" i="3" l="1"/>
  <c r="B51" i="3"/>
  <c r="B15" i="3"/>
  <c r="B25" i="3"/>
  <c r="C73" i="3"/>
  <c r="C89" i="3" s="1"/>
  <c r="B73" i="3"/>
  <c r="B89" i="3" s="1"/>
  <c r="D14" i="3"/>
  <c r="P14" i="3" s="1"/>
  <c r="D16" i="3"/>
  <c r="P16" i="3" s="1"/>
  <c r="N9" i="3"/>
  <c r="O9" i="3"/>
  <c r="C15" i="2" l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L66" i="3"/>
  <c r="M66" i="3"/>
  <c r="P61" i="3" l="1"/>
  <c r="P66" i="3"/>
  <c r="M73" i="3"/>
  <c r="M89" i="3" s="1"/>
  <c r="K15" i="3" l="1"/>
  <c r="P15" i="3" s="1"/>
  <c r="K9" i="3" l="1"/>
  <c r="L73" i="3"/>
  <c r="L89" i="3" s="1"/>
  <c r="K73" i="3" l="1"/>
  <c r="K89" i="3" l="1"/>
  <c r="K93" i="3" s="1"/>
  <c r="P9" i="3" l="1"/>
  <c r="N73" i="3" l="1"/>
  <c r="N89" i="3" l="1"/>
  <c r="J25" i="3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<sst xmlns="http://schemas.openxmlformats.org/spreadsheetml/2006/main" count="215" uniqueCount="128">
  <si>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</si>
  <si>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</si>
  <si>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</si>
  <si>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</si>
  <si>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</si>
  <si>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</si>
  <si>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</si>
  <si>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</si>
  <si>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</si>
  <si>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</si>
  <si>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</si>
  <si>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</si>
  <si>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</si>
  <si>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</si>
  <si>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</si>
  <si>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</si>
  <si>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</si>
  <si>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</si>
  <si>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</si>
  <si>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</si>
  <si>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</si>
  <si>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</si>
  <si>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</si>
  <si>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</si>
  <si>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</si>
  <si>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</si>
  <si>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</si>
  <si>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</si>
  <si>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</si>
  <si>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</si>
  <si>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</si>
  <si>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</si>
  <si>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</si>
  <si>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</si>
  <si>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</si>
  <si>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</si>
  <si>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</si>
  <si>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</si>
  <si>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</si>
  <si>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</si>
  <si>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</si>
  <si>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</si>
  <si>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</si>
  <si>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</si>
  <si>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</si>
  <si>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</si>
  <si>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</si>
  <si>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</si>
  <si>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</si>
  <si>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</si>
  <si>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</si>
  <si>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</si>
  <si>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</si>
  <si>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</si>
  <si>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</si>
  <si>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</si>
  <si>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</si>
  <si>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</si>
  <si>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</si>
  <si>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</si>
  <si>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</si>
  <si>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</si>
  <si>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</si>
  <si>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</si>
  <si>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</si>
  <si>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</si>
  <si>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</si>
  <si>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</si>
  <si>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</si>
  <si>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</si>
  <si>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</si>
  <si>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</si>
  <si>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</si>
  <si>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</si>
  <si>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</si>
  <si>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</si>
  <si>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</si>
  <si>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</si>
  <si>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</si>
  <si>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</si>
  <si>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</si>
  <si>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</si>
  <si>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</si>
  <si>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</si>
  <si>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</si>
  <si>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</si>
  <si>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</si>
  <si>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</si>
  <si>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</si>
  <si>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</si>
  <si>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</si>
  <si>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</si>
  <si>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</si>
  <si>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</si>
  <si>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</si>
  <si>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</si>
  <si>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</si>
  <si>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</si>
  <si>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</si>
  <si>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</si>
  <si>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</si>
  <si>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</si>
  <si>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</si>
  <si>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</si>
  <si>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</si>
  <si>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</si>
  <si>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</si>
  <si>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</si>
  <si>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</si>
  <si>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</si>
  <si>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</si>
  <si>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</si>
  <si>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</si>
  <si>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</si>
  <si>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AñO 2022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</si>
  <si>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</si>
  <si>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</si>
  <si>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</si>
  <si>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</si>
  <si>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</si>
  <si>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</si>
  <si>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</si>
  <si>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</si>
  <si>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</si>
  <si>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Octubre del 2022</t>
    </r>
  </si>
  <si>
    <r>
      <t>Fecha de imputación: h</t>
    </r>
    <r>
      <rPr>
        <sz val="11"/>
        <color rgb="FFC00000"/>
        <rFont val="Calibri"/>
        <family val="2"/>
        <scheme val="minor"/>
      </rPr>
      <t>asta el 30 de Septiembre de 2022</t>
    </r>
  </si>
  <si>
    <t>Nota: La diferencia entre el presupuesto inicial y el presupuesto vigente se debe a una  Modificación  realizada por  RD$1,250,000.00, pendiente de aprobación por la DIGEPRES.</t>
  </si>
  <si>
    <t>Nota: La diferencia entre el presupuesto inicial y el presupuesto modificado se debe a una Modificación realizada por  RD$1,250,000.00, pendiente de aprobación por la DIGEPRES.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</si>
</sst>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"/>
  <sheetViews>
    <sheetView showGridLines="0" zoomScaleNormal="100" workbookViewId="0">
      <selection activeCell="B91" sqref="B91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3" t="s">
        <v>0</v>
      </c>
      <c r="B1" s="53"/>
      <c r="C1" s="53"/>
    </row>
    <row r="2" spans="1:14" ht="18.75" x14ac:dyDescent="0.3">
      <c r="A2" s="53" t="s">
        <v>1</v>
      </c>
      <c r="B2" s="53"/>
      <c r="C2" s="53"/>
    </row>
    <row r="3" spans="1:14" ht="18.75" x14ac:dyDescent="0.3">
      <c r="A3" s="55" t="s">
        <v>2</v>
      </c>
      <c r="B3" s="55"/>
      <c r="C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.75" x14ac:dyDescent="0.3">
      <c r="A4" s="55" t="s">
        <v>114</v>
      </c>
      <c r="B4" s="55"/>
      <c r="C4" s="55"/>
      <c r="D4" s="6" t="s">
        <v>3</v>
      </c>
    </row>
    <row r="5" spans="1:14" x14ac:dyDescent="0.25">
      <c r="A5" s="54" t="s">
        <v>4</v>
      </c>
      <c r="B5" s="54"/>
      <c r="C5" s="54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135997549</v>
      </c>
      <c r="C9" s="13">
        <f>SUM(C10:C14)</f>
        <v>129172592.84</v>
      </c>
    </row>
    <row r="10" spans="1:14" x14ac:dyDescent="0.25">
      <c r="A10" s="5" t="s">
        <v>11</v>
      </c>
      <c r="B10" s="17">
        <f>69025625+42837550</f>
        <v>111863175</v>
      </c>
      <c r="C10" s="17">
        <v>103177983.62</v>
      </c>
    </row>
    <row r="11" spans="1:14" x14ac:dyDescent="0.25">
      <c r="A11" s="5" t="s">
        <v>12</v>
      </c>
      <c r="B11" s="17">
        <v>11200000</v>
      </c>
      <c r="C11" s="32">
        <v>10640000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f>9005426+3928948</f>
        <v>12934374</v>
      </c>
      <c r="C14" s="17">
        <v>15354609.220000001</v>
      </c>
    </row>
    <row r="15" spans="1:14" x14ac:dyDescent="0.25">
      <c r="A15" s="2" t="s">
        <v>16</v>
      </c>
      <c r="B15" s="13">
        <f>SUM(B16:B24)</f>
        <v>38830936</v>
      </c>
      <c r="C15" s="13">
        <f>SUM(C16:C24)</f>
        <v>36046069.390000001</v>
      </c>
    </row>
    <row r="16" spans="1:14" x14ac:dyDescent="0.25">
      <c r="A16" s="5" t="s">
        <v>17</v>
      </c>
      <c r="B16" s="17">
        <v>9377000</v>
      </c>
      <c r="C16" s="17">
        <v>9652000</v>
      </c>
    </row>
    <row r="17" spans="1:3" x14ac:dyDescent="0.25">
      <c r="A17" s="5" t="s">
        <v>18</v>
      </c>
      <c r="B17" s="17">
        <f>650000+500000</f>
        <v>1150000</v>
      </c>
      <c r="C17" s="17">
        <v>1200000</v>
      </c>
    </row>
    <row r="18" spans="1:3" x14ac:dyDescent="0.25">
      <c r="A18" s="5" t="s">
        <v>19</v>
      </c>
      <c r="B18" s="17">
        <v>100000</v>
      </c>
      <c r="C18" s="17">
        <v>1650000</v>
      </c>
    </row>
    <row r="19" spans="1:3" ht="18" customHeight="1" x14ac:dyDescent="0.25">
      <c r="A19" s="5" t="s">
        <v>20</v>
      </c>
      <c r="B19" s="17">
        <v>3700000</v>
      </c>
      <c r="C19" s="17">
        <v>2000000</v>
      </c>
    </row>
    <row r="20" spans="1:3" x14ac:dyDescent="0.25">
      <c r="A20" s="5" t="s">
        <v>21</v>
      </c>
      <c r="B20" s="17">
        <v>2931000</v>
      </c>
      <c r="C20" s="17">
        <v>2433517.79</v>
      </c>
    </row>
    <row r="21" spans="1:3" x14ac:dyDescent="0.25">
      <c r="A21" s="5" t="s">
        <v>22</v>
      </c>
      <c r="B21" s="17">
        <v>1550000</v>
      </c>
      <c r="C21" s="17">
        <v>1700000</v>
      </c>
    </row>
    <row r="22" spans="1:3" x14ac:dyDescent="0.25">
      <c r="A22" s="5" t="s">
        <v>23</v>
      </c>
      <c r="B22" s="17">
        <v>2110000</v>
      </c>
      <c r="C22" s="17">
        <v>2434000</v>
      </c>
    </row>
    <row r="23" spans="1:3" x14ac:dyDescent="0.25">
      <c r="A23" s="5" t="s">
        <v>24</v>
      </c>
      <c r="B23" s="17">
        <f>7550000+7862936</f>
        <v>15412936</v>
      </c>
      <c r="C23" s="17">
        <v>12832551.5</v>
      </c>
    </row>
    <row r="24" spans="1:3" x14ac:dyDescent="0.25">
      <c r="A24" s="5" t="s">
        <v>25</v>
      </c>
      <c r="B24" s="17">
        <f>1600000+900000</f>
        <v>2500000</v>
      </c>
      <c r="C24" s="17">
        <v>2144000.1</v>
      </c>
    </row>
    <row r="25" spans="1:3" x14ac:dyDescent="0.25">
      <c r="A25" s="2" t="s">
        <v>26</v>
      </c>
      <c r="B25" s="13">
        <f>SUM(B26:B34)</f>
        <v>6650000</v>
      </c>
      <c r="C25" s="13">
        <f>SUM(C26:C34)</f>
        <v>9017322.7699999996</v>
      </c>
    </row>
    <row r="26" spans="1:3" x14ac:dyDescent="0.25">
      <c r="A26" s="5" t="s">
        <v>27</v>
      </c>
      <c r="B26" s="17">
        <v>300000</v>
      </c>
      <c r="C26" s="17">
        <v>300000</v>
      </c>
    </row>
    <row r="27" spans="1:3" x14ac:dyDescent="0.25">
      <c r="A27" s="5" t="s">
        <v>28</v>
      </c>
      <c r="B27" s="17">
        <v>450000</v>
      </c>
      <c r="C27" s="17">
        <v>700000</v>
      </c>
    </row>
    <row r="28" spans="1:3" x14ac:dyDescent="0.25">
      <c r="A28" s="5" t="s">
        <v>29</v>
      </c>
      <c r="B28" s="17">
        <v>600000</v>
      </c>
      <c r="C28" s="17">
        <v>525000</v>
      </c>
    </row>
    <row r="29" spans="1:3" x14ac:dyDescent="0.25">
      <c r="A29" s="5" t="s">
        <v>30</v>
      </c>
      <c r="B29" s="17"/>
      <c r="C29" s="17">
        <v>75000</v>
      </c>
    </row>
    <row r="30" spans="1:3" x14ac:dyDescent="0.25">
      <c r="A30" s="5" t="s">
        <v>31</v>
      </c>
      <c r="B30" s="17">
        <v>200000</v>
      </c>
      <c r="C30" s="17">
        <v>200000</v>
      </c>
    </row>
    <row r="31" spans="1:3" x14ac:dyDescent="0.25">
      <c r="A31" s="5" t="s">
        <v>32</v>
      </c>
      <c r="B31" s="17"/>
      <c r="C31" s="17"/>
    </row>
    <row r="32" spans="1:3" x14ac:dyDescent="0.25">
      <c r="A32" s="5" t="s">
        <v>33</v>
      </c>
      <c r="B32" s="17">
        <v>2750000</v>
      </c>
      <c r="C32" s="17">
        <v>4550000</v>
      </c>
    </row>
    <row r="33" spans="1:3" x14ac:dyDescent="0.25">
      <c r="A33" s="5" t="s">
        <v>34</v>
      </c>
      <c r="B33" s="17"/>
      <c r="C33" s="17"/>
    </row>
    <row r="34" spans="1:3" x14ac:dyDescent="0.25">
      <c r="A34" s="5" t="s">
        <v>35</v>
      </c>
      <c r="B34" s="17">
        <f>2050000+300000</f>
        <v>2350000</v>
      </c>
      <c r="C34" s="17">
        <v>2667322.77</v>
      </c>
    </row>
    <row r="35" spans="1:3" x14ac:dyDescent="0.25">
      <c r="A35" s="2" t="s">
        <v>36</v>
      </c>
      <c r="B35" s="13">
        <f>SUM(B36:B42)</f>
        <v>4000003</v>
      </c>
      <c r="C35" s="13">
        <f>SUM(C36:C50)</f>
        <v>3535003</v>
      </c>
    </row>
    <row r="36" spans="1:3" x14ac:dyDescent="0.25">
      <c r="A36" s="5" t="s">
        <v>37</v>
      </c>
      <c r="B36" s="17">
        <v>4000003</v>
      </c>
      <c r="C36" s="17">
        <v>3535003</v>
      </c>
    </row>
    <row r="37" spans="1:3" x14ac:dyDescent="0.25">
      <c r="A37" s="5" t="s">
        <v>38</v>
      </c>
      <c r="B37" s="17"/>
      <c r="C37" s="17"/>
    </row>
    <row r="38" spans="1:3" x14ac:dyDescent="0.25">
      <c r="A38" s="5" t="s">
        <v>39</v>
      </c>
      <c r="B38" s="17"/>
      <c r="C38" s="17"/>
    </row>
    <row r="39" spans="1:3" x14ac:dyDescent="0.25">
      <c r="A39" s="5" t="s">
        <v>40</v>
      </c>
      <c r="B39" s="17"/>
      <c r="C39" s="17"/>
    </row>
    <row r="40" spans="1:3" x14ac:dyDescent="0.25">
      <c r="A40" s="5" t="s">
        <v>41</v>
      </c>
      <c r="B40" s="17"/>
      <c r="C40" s="17"/>
    </row>
    <row r="41" spans="1:3" x14ac:dyDescent="0.25">
      <c r="A41" s="5" t="s">
        <v>42</v>
      </c>
      <c r="B41" s="17"/>
      <c r="C41" s="17"/>
    </row>
    <row r="42" spans="1:3" x14ac:dyDescent="0.25">
      <c r="A42" s="5" t="s">
        <v>43</v>
      </c>
      <c r="B42" s="17"/>
      <c r="C42" s="17"/>
    </row>
    <row r="43" spans="1:3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3" x14ac:dyDescent="0.25">
      <c r="A44" s="5" t="s">
        <v>45</v>
      </c>
      <c r="B44" s="17"/>
      <c r="C44" s="17"/>
    </row>
    <row r="45" spans="1:3" x14ac:dyDescent="0.25">
      <c r="A45" s="5" t="s">
        <v>46</v>
      </c>
      <c r="B45" s="17"/>
      <c r="C45" s="17"/>
    </row>
    <row r="46" spans="1:3" x14ac:dyDescent="0.25">
      <c r="A46" s="5" t="s">
        <v>47</v>
      </c>
      <c r="B46" s="17"/>
      <c r="C46" s="17"/>
    </row>
    <row r="47" spans="1:3" x14ac:dyDescent="0.25">
      <c r="A47" s="5" t="s">
        <v>48</v>
      </c>
      <c r="B47" s="17"/>
      <c r="C47" s="17"/>
    </row>
    <row r="48" spans="1:3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710000</v>
      </c>
      <c r="C51" s="13">
        <f>SUM(C52:C60)</f>
        <v>7167500</v>
      </c>
    </row>
    <row r="52" spans="1:24" x14ac:dyDescent="0.25">
      <c r="A52" s="5" t="s">
        <v>53</v>
      </c>
      <c r="B52" s="17">
        <v>550000</v>
      </c>
      <c r="C52" s="17">
        <v>1027500</v>
      </c>
    </row>
    <row r="53" spans="1:24" x14ac:dyDescent="0.25">
      <c r="A53" s="5" t="s">
        <v>54</v>
      </c>
      <c r="B53" s="17">
        <v>100000</v>
      </c>
      <c r="C53" s="17">
        <v>200000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>
        <v>5470000</v>
      </c>
    </row>
    <row r="56" spans="1:24" x14ac:dyDescent="0.25">
      <c r="A56" s="5" t="s">
        <v>57</v>
      </c>
      <c r="B56" s="17">
        <v>60000</v>
      </c>
      <c r="C56" s="17">
        <v>360000</v>
      </c>
    </row>
    <row r="57" spans="1:24" x14ac:dyDescent="0.25">
      <c r="A57" s="5" t="s">
        <v>58</v>
      </c>
      <c r="B57" s="17"/>
      <c r="C57" s="17">
        <v>110000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v>0</v>
      </c>
      <c r="C73" s="18">
        <v>0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186188488</v>
      </c>
      <c r="C87" s="19">
        <f>SUM(C9+C15+C25+C35+C51)</f>
        <v>184938488.00000003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121</v>
      </c>
      <c r="B95" s="21" t="s">
        <v>92</v>
      </c>
    </row>
    <row r="96" spans="1:3" x14ac:dyDescent="0.25">
      <c r="A96" t="s">
        <v>115</v>
      </c>
      <c r="B96" t="s">
        <v>93</v>
      </c>
    </row>
    <row r="98" spans="1:8" x14ac:dyDescent="0.25">
      <c r="A98" s="56" t="s">
        <v>94</v>
      </c>
      <c r="B98" s="56"/>
      <c r="C98" s="56"/>
    </row>
    <row r="99" spans="1:8" x14ac:dyDescent="0.25">
      <c r="A99" s="31"/>
      <c r="B99" s="31"/>
      <c r="C99" s="31"/>
    </row>
    <row r="100" spans="1:8" x14ac:dyDescent="0.25">
      <c r="A100" s="31"/>
      <c r="B100" s="51"/>
      <c r="C100" s="31"/>
    </row>
    <row r="101" spans="1:8" x14ac:dyDescent="0.25">
      <c r="A101" s="28"/>
      <c r="B101" s="28"/>
      <c r="C101" s="28"/>
    </row>
    <row r="102" spans="1:8" x14ac:dyDescent="0.25">
      <c r="A102" s="25" t="s">
        <v>95</v>
      </c>
      <c r="B102" s="25"/>
      <c r="C102" s="25"/>
    </row>
    <row r="103" spans="1:8" x14ac:dyDescent="0.25">
      <c r="A103" s="58" t="s">
        <v>117</v>
      </c>
      <c r="B103" s="58"/>
      <c r="C103" s="58"/>
    </row>
    <row r="104" spans="1:8" x14ac:dyDescent="0.25">
      <c r="A104" s="56" t="s">
        <v>118</v>
      </c>
      <c r="B104" s="56"/>
      <c r="C104" s="56"/>
    </row>
    <row r="106" spans="1:8" x14ac:dyDescent="0.25">
      <c r="A106" s="57" t="s">
        <v>126</v>
      </c>
      <c r="B106" s="57"/>
      <c r="C106" s="57"/>
      <c r="D106" s="57"/>
      <c r="E106" s="57"/>
      <c r="F106" s="57"/>
      <c r="G106" s="57"/>
      <c r="H106" s="57"/>
    </row>
    <row r="107" spans="1:8" x14ac:dyDescent="0.25">
      <c r="A107" s="57"/>
      <c r="B107" s="57"/>
      <c r="C107" s="57"/>
      <c r="D107" s="57"/>
      <c r="E107" s="57"/>
      <c r="F107" s="57"/>
      <c r="G107" s="57"/>
      <c r="H107" s="57"/>
    </row>
    <row r="110" spans="1:8" x14ac:dyDescent="0.25">
      <c r="C110" s="16"/>
    </row>
  </sheetData>
  <mergeCells count="14">
    <mergeCell ref="J3:L3"/>
    <mergeCell ref="M3:N3"/>
    <mergeCell ref="A98:C98"/>
    <mergeCell ref="A106:H106"/>
    <mergeCell ref="A107:H107"/>
    <mergeCell ref="A103:C103"/>
    <mergeCell ref="A104:C104"/>
    <mergeCell ref="D3:F3"/>
    <mergeCell ref="G3:I3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zoomScale="75" zoomScaleNormal="75" workbookViewId="0">
      <selection activeCell="R65" sqref="R65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"/>
    </row>
    <row r="2" spans="1:28" ht="18.75" customHeight="1" x14ac:dyDescent="0.3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"/>
    </row>
    <row r="3" spans="1:28" ht="15.75" customHeight="1" x14ac:dyDescent="0.25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1"/>
    </row>
    <row r="4" spans="1:28" ht="15.75" x14ac:dyDescent="0.25">
      <c r="A4" s="55" t="s">
        <v>120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1"/>
    </row>
    <row r="5" spans="1:28" x14ac:dyDescent="0.25">
      <c r="A5" s="54" t="s">
        <v>98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122</v>
      </c>
      <c r="C7" s="10" t="s">
        <v>123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135997549</v>
      </c>
      <c r="C9" s="13">
        <f>C10+C11+C14</f>
        <v>129172592.84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14081857.790000001</v>
      </c>
      <c r="K9" s="13">
        <f t="shared" ref="K9:O9" si="1">+K10+K11+K12+K13+K14</f>
        <v>13288300.390000001</v>
      </c>
      <c r="L9" s="13">
        <f t="shared" si="1"/>
        <v>10857323.109999999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102792457.63</v>
      </c>
      <c r="S9" s="15"/>
    </row>
    <row r="10" spans="1:28" s="21" customFormat="1" x14ac:dyDescent="0.25">
      <c r="A10" s="44" t="s">
        <v>11</v>
      </c>
      <c r="B10" s="40">
        <f>37368000+65345700+7149475+2000000</f>
        <v>111863175</v>
      </c>
      <c r="C10" s="40">
        <v>101945596.04000001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45">
        <f>5523300+2082000+63451.77</f>
        <v>7668751.7699999996</v>
      </c>
      <c r="H10" s="45">
        <f>5473300+4180450</f>
        <v>9653750</v>
      </c>
      <c r="I10" s="45">
        <v>11522400</v>
      </c>
      <c r="J10" s="45">
        <f>5693433.33+2121000+426000+125000+83064.14</f>
        <v>8448497.4700000007</v>
      </c>
      <c r="K10" s="45">
        <f>5689300+2046000+105000+3476520+196633.59</f>
        <v>11513453.59</v>
      </c>
      <c r="L10" s="45">
        <v>9151254.7200000007</v>
      </c>
      <c r="M10" s="45"/>
      <c r="N10" s="45"/>
      <c r="O10" s="13"/>
      <c r="P10" s="13">
        <f t="shared" ref="P10:P73" si="2">SUM(D10:O10)</f>
        <v>82721973.189999998</v>
      </c>
    </row>
    <row r="11" spans="1:28" x14ac:dyDescent="0.25">
      <c r="A11" s="5" t="s">
        <v>12</v>
      </c>
      <c r="B11" s="42">
        <v>11200000</v>
      </c>
      <c r="C11" s="42">
        <v>10640000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>
        <f>155000+4124086.08+95000</f>
        <v>4374086.08</v>
      </c>
      <c r="K11" s="14">
        <f>155000</f>
        <v>155000</v>
      </c>
      <c r="L11" s="14">
        <v>362319.44</v>
      </c>
      <c r="M11" s="14"/>
      <c r="N11" s="14"/>
      <c r="O11" s="13"/>
      <c r="P11" s="43">
        <f t="shared" si="2"/>
        <v>7853805.5200000005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f>5997692+6006152+930530</f>
        <v>12934374</v>
      </c>
      <c r="C14" s="42">
        <v>16586996.800000001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>
        <v>1259274.24</v>
      </c>
      <c r="K14" s="17">
        <v>1619846.8</v>
      </c>
      <c r="L14" s="17">
        <v>1343748.95</v>
      </c>
      <c r="M14" s="17"/>
      <c r="N14" s="17"/>
      <c r="O14" s="17"/>
      <c r="P14" s="43">
        <f t="shared" si="2"/>
        <v>12216678.92</v>
      </c>
    </row>
    <row r="15" spans="1:28" x14ac:dyDescent="0.25">
      <c r="A15" s="2" t="s">
        <v>16</v>
      </c>
      <c r="B15" s="40">
        <f>B16+B17+B18+B19+B20+B21+B22+B23+B24</f>
        <v>38830936</v>
      </c>
      <c r="C15" s="40">
        <f>C16+C17+C18+C19+C20+C21+C22+C23+C24</f>
        <v>36046069.390000001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2087131.29</v>
      </c>
      <c r="K15" s="13">
        <f t="shared" ref="K15:O15" si="5">SUM(K16:K24)</f>
        <v>2931785.2500000005</v>
      </c>
      <c r="L15" s="13">
        <f t="shared" si="5"/>
        <v>4571306.46</v>
      </c>
      <c r="M15" s="13"/>
      <c r="N15" s="13">
        <f t="shared" si="5"/>
        <v>0</v>
      </c>
      <c r="O15" s="13">
        <f t="shared" si="5"/>
        <v>0</v>
      </c>
      <c r="P15" s="13">
        <f t="shared" si="2"/>
        <v>17866953.740000002</v>
      </c>
    </row>
    <row r="16" spans="1:28" x14ac:dyDescent="0.25">
      <c r="A16" s="5" t="s">
        <v>17</v>
      </c>
      <c r="B16" s="42">
        <f>15000+1800000+4700000+2850000+12000</f>
        <v>9377000</v>
      </c>
      <c r="C16" s="42">
        <v>9652000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>
        <v>668830.55000000005</v>
      </c>
      <c r="K16" s="14">
        <f>116921.76+659622.66+239431.28</f>
        <v>1015975.7000000001</v>
      </c>
      <c r="L16" s="17">
        <v>1238911.55</v>
      </c>
      <c r="M16" s="14"/>
      <c r="N16" s="14"/>
      <c r="O16" s="14"/>
      <c r="P16" s="43">
        <f t="shared" si="2"/>
        <v>7554972.1899999995</v>
      </c>
    </row>
    <row r="17" spans="1:16" ht="30" x14ac:dyDescent="0.25">
      <c r="A17" s="5" t="s">
        <v>18</v>
      </c>
      <c r="B17" s="42">
        <f>50000+1100000</f>
        <v>1150000</v>
      </c>
      <c r="C17" s="42">
        <v>1200000</v>
      </c>
      <c r="D17" s="13"/>
      <c r="E17" s="17">
        <v>0</v>
      </c>
      <c r="F17" s="14"/>
      <c r="G17" s="14">
        <f>57230</f>
        <v>57230</v>
      </c>
      <c r="H17" s="14"/>
      <c r="I17" s="14"/>
      <c r="J17" s="14">
        <v>354879.47</v>
      </c>
      <c r="K17" s="14"/>
      <c r="L17" s="14"/>
      <c r="M17" s="14"/>
      <c r="N17" s="14"/>
      <c r="O17" s="14"/>
      <c r="P17" s="43">
        <f t="shared" si="2"/>
        <v>412109.47</v>
      </c>
    </row>
    <row r="18" spans="1:16" x14ac:dyDescent="0.25">
      <c r="A18" s="5" t="s">
        <v>19</v>
      </c>
      <c r="B18" s="42">
        <v>100000</v>
      </c>
      <c r="C18" s="42">
        <v>1650000</v>
      </c>
      <c r="D18" s="13"/>
      <c r="E18" s="17">
        <v>0</v>
      </c>
      <c r="F18" s="14"/>
      <c r="G18" s="14"/>
      <c r="H18" s="14"/>
      <c r="I18" s="14"/>
      <c r="J18" s="14">
        <v>32150</v>
      </c>
      <c r="K18" s="14">
        <f>299200</f>
        <v>299200</v>
      </c>
      <c r="L18" s="14">
        <v>100050</v>
      </c>
      <c r="M18" s="14"/>
      <c r="N18" s="14"/>
      <c r="O18" s="14"/>
      <c r="P18" s="43">
        <f t="shared" si="2"/>
        <v>431400</v>
      </c>
    </row>
    <row r="19" spans="1:16" ht="18" customHeight="1" x14ac:dyDescent="0.25">
      <c r="A19" s="5" t="s">
        <v>20</v>
      </c>
      <c r="B19" s="42">
        <v>3700000</v>
      </c>
      <c r="C19" s="42">
        <v>2000000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f>406000+25000+2500000</f>
        <v>2931000</v>
      </c>
      <c r="C20" s="42">
        <v>2433517.79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>
        <v>275412</v>
      </c>
      <c r="K20" s="14">
        <v>-16258</v>
      </c>
      <c r="L20" s="17">
        <v>983545</v>
      </c>
      <c r="M20" s="14"/>
      <c r="N20" s="14"/>
      <c r="O20" s="14"/>
      <c r="P20" s="43">
        <f t="shared" si="2"/>
        <v>1442799</v>
      </c>
    </row>
    <row r="21" spans="1:16" x14ac:dyDescent="0.25">
      <c r="A21" s="5" t="s">
        <v>22</v>
      </c>
      <c r="B21" s="42">
        <f>350000+1200000</f>
        <v>1550000</v>
      </c>
      <c r="C21" s="42">
        <v>1700000</v>
      </c>
      <c r="D21" s="43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>
        <v>65624.100000000006</v>
      </c>
      <c r="K21" s="14">
        <v>71572.100000000006</v>
      </c>
      <c r="L21" s="14">
        <v>71606.399999999994</v>
      </c>
      <c r="M21" s="14"/>
      <c r="N21" s="14"/>
      <c r="O21" s="14"/>
      <c r="P21" s="43">
        <f t="shared" si="2"/>
        <v>908968.79999999993</v>
      </c>
    </row>
    <row r="22" spans="1:16" ht="45" x14ac:dyDescent="0.25">
      <c r="A22" s="5" t="s">
        <v>23</v>
      </c>
      <c r="B22" s="42">
        <f>960000+1150000</f>
        <v>2110000</v>
      </c>
      <c r="C22" s="42">
        <v>2434000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>
        <v>112341.9</v>
      </c>
      <c r="K22" s="14">
        <v>257130.32</v>
      </c>
      <c r="L22" s="14">
        <v>123124.8</v>
      </c>
      <c r="M22" s="14"/>
      <c r="N22" s="14"/>
      <c r="O22" s="14"/>
      <c r="P22" s="43">
        <f t="shared" si="2"/>
        <v>986298.42000000016</v>
      </c>
    </row>
    <row r="23" spans="1:16" ht="30" x14ac:dyDescent="0.25">
      <c r="A23" s="5" t="s">
        <v>24</v>
      </c>
      <c r="B23" s="42">
        <f>800000+6000000+8612936</f>
        <v>15412936</v>
      </c>
      <c r="C23" s="42">
        <v>12832551.5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>
        <v>327761</v>
      </c>
      <c r="K23" s="14">
        <v>1028346.15</v>
      </c>
      <c r="L23" s="14">
        <v>1907477.31</v>
      </c>
      <c r="M23" s="14"/>
      <c r="N23" s="14"/>
      <c r="O23" s="14"/>
      <c r="P23" s="43">
        <f t="shared" si="2"/>
        <v>5117111.49</v>
      </c>
    </row>
    <row r="24" spans="1:16" ht="30" x14ac:dyDescent="0.25">
      <c r="A24" s="5" t="s">
        <v>25</v>
      </c>
      <c r="B24" s="42">
        <f>2500000</f>
        <v>2500000</v>
      </c>
      <c r="C24" s="42">
        <v>2144000.1</v>
      </c>
      <c r="D24" s="13"/>
      <c r="E24" s="17">
        <v>18000.189999999999</v>
      </c>
      <c r="F24" s="46">
        <v>17850</v>
      </c>
      <c r="G24" s="46">
        <v>17877</v>
      </c>
      <c r="H24" s="14">
        <v>184010.53</v>
      </c>
      <c r="I24" s="14">
        <f>28674+74340</f>
        <v>103014</v>
      </c>
      <c r="J24" s="14">
        <v>250132.27</v>
      </c>
      <c r="K24" s="14">
        <v>275818.98</v>
      </c>
      <c r="L24" s="17">
        <v>146591.4</v>
      </c>
      <c r="M24" s="14"/>
      <c r="N24" s="14"/>
      <c r="O24" s="14"/>
      <c r="P24" s="43">
        <f t="shared" si="2"/>
        <v>1013294.37</v>
      </c>
    </row>
    <row r="25" spans="1:16" x14ac:dyDescent="0.25">
      <c r="A25" s="2" t="s">
        <v>26</v>
      </c>
      <c r="B25" s="40">
        <f>B26+B27+B28+B29+B30+B31+B32+B33+B34</f>
        <v>6650000</v>
      </c>
      <c r="C25" s="40">
        <f>C26+C27+C28+C29+C30+C31+C32+C33+C34</f>
        <v>9017322.7699999996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1249172.24</v>
      </c>
      <c r="K25" s="13">
        <f t="shared" si="6"/>
        <v>678460.32</v>
      </c>
      <c r="L25" s="13">
        <f t="shared" si="6"/>
        <v>821100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4020273.23</v>
      </c>
    </row>
    <row r="26" spans="1:16" ht="30" x14ac:dyDescent="0.25">
      <c r="A26" s="5" t="s">
        <v>27</v>
      </c>
      <c r="B26" s="42">
        <f>200000+100000</f>
        <v>300000</v>
      </c>
      <c r="C26" s="42">
        <f>200000+100000</f>
        <v>300000</v>
      </c>
      <c r="D26" s="17"/>
      <c r="E26" s="17">
        <v>23954</v>
      </c>
      <c r="F26" s="14"/>
      <c r="G26" s="46">
        <f>39300</f>
        <v>39300</v>
      </c>
      <c r="H26" s="46">
        <v>3600</v>
      </c>
      <c r="I26" s="46">
        <f>36063.9</f>
        <v>36063.9</v>
      </c>
      <c r="J26" s="46">
        <v>62799.44</v>
      </c>
      <c r="K26" s="52">
        <v>7200</v>
      </c>
      <c r="L26" s="46">
        <v>7200</v>
      </c>
      <c r="M26" s="14"/>
      <c r="N26" s="16"/>
      <c r="O26" s="16"/>
      <c r="P26" s="43">
        <f t="shared" si="2"/>
        <v>180117.34</v>
      </c>
    </row>
    <row r="27" spans="1:16" x14ac:dyDescent="0.25">
      <c r="A27" s="5" t="s">
        <v>28</v>
      </c>
      <c r="B27" s="42">
        <f>100000+350000</f>
        <v>450000</v>
      </c>
      <c r="C27" s="42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f>200000+400000</f>
        <v>600000</v>
      </c>
      <c r="C28" s="42">
        <v>525000</v>
      </c>
      <c r="D28" s="23"/>
      <c r="E28" s="23"/>
      <c r="F28" s="23"/>
      <c r="G28" s="46">
        <f>9322+3649.15</f>
        <v>12971.15</v>
      </c>
      <c r="H28" s="24"/>
      <c r="I28" s="46">
        <v>52321.2</v>
      </c>
      <c r="J28" s="46"/>
      <c r="K28" s="24">
        <v>68440</v>
      </c>
      <c r="L28" s="24"/>
      <c r="M28" s="24"/>
      <c r="N28" s="24"/>
      <c r="O28" s="24"/>
      <c r="P28" s="43">
        <f t="shared" si="2"/>
        <v>133732.35</v>
      </c>
    </row>
    <row r="29" spans="1:16" x14ac:dyDescent="0.25">
      <c r="A29" s="5" t="s">
        <v>30</v>
      </c>
      <c r="B29" s="42"/>
      <c r="C29" s="42">
        <v>75000</v>
      </c>
      <c r="D29" s="17"/>
      <c r="E29" s="17"/>
      <c r="F29" s="17"/>
      <c r="G29" s="14"/>
      <c r="H29" s="14"/>
      <c r="I29" s="14"/>
      <c r="J29" s="14"/>
      <c r="K29" s="14">
        <v>36144.959999999999</v>
      </c>
      <c r="L29" s="14"/>
      <c r="N29" s="14"/>
      <c r="O29" s="14"/>
      <c r="P29" s="43">
        <f t="shared" si="2"/>
        <v>36144.959999999999</v>
      </c>
    </row>
    <row r="30" spans="1:16" ht="30" x14ac:dyDescent="0.25">
      <c r="A30" s="5" t="s">
        <v>31</v>
      </c>
      <c r="B30" s="42">
        <f>100000+100000</f>
        <v>200000</v>
      </c>
      <c r="C30" s="42">
        <f>100000+100000</f>
        <v>200000</v>
      </c>
      <c r="D30" s="17"/>
      <c r="E30" s="17"/>
      <c r="F30" s="17"/>
      <c r="G30" s="46">
        <v>16284</v>
      </c>
      <c r="H30" s="14"/>
      <c r="I30" s="46">
        <v>62804.32</v>
      </c>
      <c r="J30" s="46"/>
      <c r="K30" s="14">
        <v>30401.52</v>
      </c>
      <c r="L30" s="14"/>
      <c r="M30" s="24"/>
      <c r="N30" s="16"/>
      <c r="O30" s="16"/>
      <c r="P30" s="43">
        <f t="shared" si="2"/>
        <v>109489.84000000001</v>
      </c>
    </row>
    <row r="31" spans="1:16" ht="30" x14ac:dyDescent="0.25">
      <c r="A31" s="5" t="s">
        <v>32</v>
      </c>
      <c r="B31" s="42"/>
      <c r="C31" s="42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>
        <f>2700000+50000</f>
        <v>2750000</v>
      </c>
      <c r="C32" s="42">
        <v>4550000</v>
      </c>
      <c r="D32" s="23"/>
      <c r="E32" s="23"/>
      <c r="F32" s="24"/>
      <c r="G32" s="24"/>
      <c r="H32" s="24"/>
      <c r="I32" s="24"/>
      <c r="J32" s="46">
        <v>1075525.5</v>
      </c>
      <c r="K32" s="46">
        <v>494280</v>
      </c>
      <c r="L32" s="46">
        <v>813900</v>
      </c>
      <c r="M32" s="24"/>
      <c r="N32" s="16"/>
      <c r="O32" s="16"/>
      <c r="P32" s="43">
        <f t="shared" si="2"/>
        <v>2383705.5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f>200000+1600000+25000+25000+100000+400000</f>
        <v>2350000</v>
      </c>
      <c r="C34" s="42">
        <v>2667322.77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>
        <v>110847.3</v>
      </c>
      <c r="K34" s="14">
        <v>41993.84</v>
      </c>
      <c r="L34" s="14"/>
      <c r="M34" s="16"/>
      <c r="N34" s="16"/>
      <c r="O34" s="16"/>
      <c r="P34" s="43">
        <f t="shared" si="2"/>
        <v>1177083.24</v>
      </c>
    </row>
    <row r="35" spans="1:21" x14ac:dyDescent="0.25">
      <c r="A35" s="2" t="s">
        <v>36</v>
      </c>
      <c r="B35" s="40">
        <f t="shared" ref="B35:C35" si="7">B36+B37+B38+B39+B40+B41+B42</f>
        <v>4000003</v>
      </c>
      <c r="C35" s="40">
        <f t="shared" si="7"/>
        <v>3535003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f>1000000+3000003</f>
        <v>4000003</v>
      </c>
      <c r="C36" s="42">
        <f>535000+3000003</f>
        <v>3535003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710000</v>
      </c>
      <c r="C51" s="40">
        <f>C52+C53+C54+C55+C56+C57+C58+C59+C60</f>
        <v>7167500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179124.5</v>
      </c>
      <c r="K51" s="13">
        <f t="shared" ref="K51:T51" si="12">SUM(K52:K60)</f>
        <v>480795.88</v>
      </c>
      <c r="L51" s="13">
        <f t="shared" si="12"/>
        <v>2175000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2934972.58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f>200000+100000+200000+50000</f>
        <v>550000</v>
      </c>
      <c r="C52" s="42">
        <v>1027500</v>
      </c>
      <c r="D52" s="43"/>
      <c r="E52" s="17"/>
      <c r="F52" s="14">
        <v>17228</v>
      </c>
      <c r="G52" s="17"/>
      <c r="H52" s="17">
        <v>54769.7</v>
      </c>
      <c r="I52" s="17">
        <f>28054.5</f>
        <v>28054.5</v>
      </c>
      <c r="J52" s="17">
        <v>19942</v>
      </c>
      <c r="K52" s="17">
        <v>458375.88</v>
      </c>
      <c r="L52" s="17"/>
      <c r="M52" s="16"/>
      <c r="N52" s="17"/>
      <c r="O52" s="17"/>
      <c r="P52" s="43">
        <f t="shared" si="2"/>
        <v>578370.07999999996</v>
      </c>
    </row>
    <row r="53" spans="1:20" ht="30" x14ac:dyDescent="0.25">
      <c r="A53" s="5" t="s">
        <v>54</v>
      </c>
      <c r="B53" s="42">
        <f>100000</f>
        <v>100000</v>
      </c>
      <c r="C53" s="42">
        <v>200000</v>
      </c>
      <c r="D53" s="43"/>
      <c r="E53" s="17"/>
      <c r="F53" s="17"/>
      <c r="G53" s="17"/>
      <c r="H53" s="17"/>
      <c r="I53" s="17"/>
      <c r="J53" s="17"/>
      <c r="K53" s="17">
        <v>22420</v>
      </c>
      <c r="L53" s="17"/>
      <c r="M53" s="17"/>
      <c r="N53" s="23"/>
      <c r="O53" s="23"/>
      <c r="P53" s="13">
        <f t="shared" si="2"/>
        <v>22420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>
        <v>5470000</v>
      </c>
      <c r="D55" s="43"/>
      <c r="E55" s="17"/>
      <c r="F55" s="17"/>
      <c r="G55" s="17"/>
      <c r="H55" s="17"/>
      <c r="I55" s="17"/>
      <c r="L55" s="17">
        <v>2175000</v>
      </c>
      <c r="N55" s="16"/>
      <c r="O55" s="16"/>
      <c r="P55" s="13">
        <f t="shared" si="2"/>
        <v>2175000</v>
      </c>
    </row>
    <row r="56" spans="1:20" ht="30" x14ac:dyDescent="0.25">
      <c r="A56" s="5" t="s">
        <v>57</v>
      </c>
      <c r="B56" s="42">
        <v>60000</v>
      </c>
      <c r="C56" s="42">
        <v>360000</v>
      </c>
      <c r="D56" s="43"/>
      <c r="E56" s="17"/>
      <c r="F56" s="17"/>
      <c r="G56" s="17"/>
      <c r="H56" s="17"/>
      <c r="I56" s="17"/>
      <c r="J56" s="17">
        <v>159182.5</v>
      </c>
      <c r="L56" s="17"/>
      <c r="M56" s="16"/>
      <c r="N56" s="17"/>
      <c r="O56" s="17"/>
      <c r="P56" s="13">
        <f t="shared" si="2"/>
        <v>159182.5</v>
      </c>
    </row>
    <row r="57" spans="1:20" ht="30" x14ac:dyDescent="0.25">
      <c r="A57" s="5" t="s">
        <v>58</v>
      </c>
      <c r="B57" s="42"/>
      <c r="C57" s="42">
        <v>110000</v>
      </c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186188488</v>
      </c>
      <c r="C73" s="18">
        <f>+C9+C15+C25+C35+C43+C51+C61+C66+C69</f>
        <v>184938488.00000003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17597285.82</v>
      </c>
      <c r="K73" s="18">
        <f t="shared" si="18"/>
        <v>17379341.84</v>
      </c>
      <c r="L73" s="18">
        <f t="shared" ref="L73:N73" si="19">+L9+L15+L25+L35+L43+L51+L61+L66+L69</f>
        <v>18424729.57</v>
      </c>
      <c r="M73" s="18">
        <f t="shared" si="19"/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127614657.18000001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186188488</v>
      </c>
      <c r="C89" s="19">
        <f t="shared" si="22"/>
        <v>184938488.00000003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17597285.82</v>
      </c>
      <c r="K89" s="19">
        <f t="shared" si="22"/>
        <v>17379341.84</v>
      </c>
      <c r="L89" s="19">
        <f t="shared" si="22"/>
        <v>18424729.57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127614657.18000001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>
        <f>K89-17379341.84</f>
        <v>0</v>
      </c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5" x14ac:dyDescent="0.25">
      <c r="A97" t="s">
        <v>88</v>
      </c>
      <c r="H97" t="s">
        <v>89</v>
      </c>
      <c r="M97" t="s">
        <v>113</v>
      </c>
    </row>
    <row r="102" spans="1:15" x14ac:dyDescent="0.25">
      <c r="A102" s="22"/>
      <c r="H102" s="22"/>
      <c r="I102" s="22"/>
      <c r="M102" s="22"/>
      <c r="N102" s="22"/>
      <c r="O102" s="22"/>
    </row>
    <row r="103" spans="1:15" x14ac:dyDescent="0.25">
      <c r="A103" s="21" t="s">
        <v>121</v>
      </c>
      <c r="B103" s="21"/>
      <c r="C103" s="21"/>
      <c r="H103" s="21" t="s">
        <v>92</v>
      </c>
      <c r="M103" s="21" t="s">
        <v>116</v>
      </c>
    </row>
    <row r="104" spans="1:15" x14ac:dyDescent="0.25">
      <c r="A104" t="s">
        <v>115</v>
      </c>
      <c r="H104" t="s">
        <v>93</v>
      </c>
      <c r="M104" t="s">
        <v>119</v>
      </c>
    </row>
    <row r="110" spans="1:15" ht="18.75" x14ac:dyDescent="0.3">
      <c r="A110" s="60" t="s">
        <v>127</v>
      </c>
      <c r="B110" s="60"/>
      <c r="C110" s="60"/>
      <c r="D110" s="60"/>
      <c r="E110" s="60"/>
      <c r="F110" s="60"/>
      <c r="G110" s="60"/>
      <c r="H110" s="60"/>
      <c r="I110" s="57"/>
      <c r="J110" s="57"/>
      <c r="K110" s="57"/>
    </row>
    <row r="111" spans="1:15" ht="18.75" x14ac:dyDescent="0.3">
      <c r="A111" s="60"/>
      <c r="B111" s="60"/>
      <c r="C111" s="60"/>
      <c r="D111" s="60"/>
      <c r="E111" s="60"/>
      <c r="F111" s="60"/>
      <c r="G111" s="60"/>
      <c r="H111" s="60"/>
    </row>
    <row r="113" spans="4:8" x14ac:dyDescent="0.25">
      <c r="F113" s="21"/>
    </row>
    <row r="115" spans="4:8" x14ac:dyDescent="0.25">
      <c r="D115" s="16"/>
    </row>
    <row r="119" spans="4:8" x14ac:dyDescent="0.25">
      <c r="F119" s="16"/>
    </row>
    <row r="120" spans="4:8" x14ac:dyDescent="0.25">
      <c r="F120" s="16"/>
    </row>
    <row r="127" spans="4:8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F2069-F397-4AE3-98AE-AF3F3830193A}"/>
</file>

<file path=customXml/itemProps2.xml><?xml version="1.0" encoding="utf-8"?>
<ds:datastoreItem xmlns:ds="http://schemas.openxmlformats.org/officeDocument/2006/customXml" ds:itemID="{E20D357B-3A2A-4066-9070-D2FAD34CA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2022-10-05T18:47:18Z</cp:lastPrinted>
  <dcterms:created xsi:type="dcterms:W3CDTF">2018-04-17T18:57:16Z</dcterms:created>
  <dcterms:modified xsi:type="dcterms:W3CDTF">2022-10-07T18:18:27Z</dcterms:modified>
  <cp:category/>
  <cp:contentStatus/>
</cp:coreProperties>
</file>