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Agosto 2026/"/>
    </mc:Choice>
  </mc:AlternateContent>
  <xr:revisionPtr revIDLastSave="0" documentId="8_{38C5FB0B-AD67-4858-B6D1-460672C19A98}" xr6:coauthVersionLast="47" xr6:coauthVersionMax="47" xr10:uidLastSave="{00000000-0000-0000-0000-000000000000}"/>
  <bookViews>
    <workbookView xWindow="3030" yWindow="3030" windowWidth="16395" windowHeight="10620" activeTab="3" xr2:uid="{00000000-000D-0000-FFFF-FFFF00000000}"/>
  </bookViews>
  <sheets>
    <sheet name="Fija " sheetId="1" r:id="rId1"/>
    <sheet name="Periodo Probatorio " sheetId="2" r:id="rId2"/>
    <sheet name="Hoja2" sheetId="3" r:id="rId3"/>
    <sheet name="Contratados " sheetId="4" r:id="rId4"/>
  </sheets>
  <definedNames>
    <definedName name="_xlnm.Print_Area" localSheetId="0">'Fija '!$A$1:$M$210</definedName>
    <definedName name="_xlnm.Print_Titles" localSheetId="0">'Fija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2" i="4" l="1"/>
  <c r="L112" i="4"/>
  <c r="L113" i="4" s="1"/>
  <c r="K112" i="4"/>
  <c r="J112" i="4"/>
  <c r="J113" i="4" s="1"/>
  <c r="I112" i="4"/>
  <c r="H112" i="4"/>
  <c r="H113" i="4" s="1"/>
  <c r="M111" i="4"/>
  <c r="N111" i="4" s="1"/>
  <c r="N112" i="4" s="1"/>
  <c r="L107" i="4"/>
  <c r="K107" i="4"/>
  <c r="J107" i="4"/>
  <c r="I107" i="4"/>
  <c r="H107" i="4"/>
  <c r="M106" i="4"/>
  <c r="N106" i="4" s="1"/>
  <c r="M105" i="4"/>
  <c r="N105" i="4" s="1"/>
  <c r="K104" i="4"/>
  <c r="M104" i="4" s="1"/>
  <c r="I104" i="4"/>
  <c r="L101" i="4"/>
  <c r="K101" i="4"/>
  <c r="J101" i="4"/>
  <c r="H101" i="4"/>
  <c r="M100" i="4"/>
  <c r="N100" i="4" s="1"/>
  <c r="M99" i="4"/>
  <c r="N99" i="4" s="1"/>
  <c r="I99" i="4"/>
  <c r="K98" i="4"/>
  <c r="I98" i="4"/>
  <c r="M98" i="4" s="1"/>
  <c r="N98" i="4" s="1"/>
  <c r="I97" i="4"/>
  <c r="M97" i="4" s="1"/>
  <c r="N97" i="4" s="1"/>
  <c r="I96" i="4"/>
  <c r="I101" i="4" s="1"/>
  <c r="L92" i="4"/>
  <c r="K92" i="4"/>
  <c r="J92" i="4"/>
  <c r="H92" i="4"/>
  <c r="I92" i="4" s="1"/>
  <c r="M92" i="4" s="1"/>
  <c r="N92" i="4" s="1"/>
  <c r="I91" i="4"/>
  <c r="M91" i="4" s="1"/>
  <c r="N91" i="4" s="1"/>
  <c r="L87" i="4"/>
  <c r="K87" i="4"/>
  <c r="J87" i="4"/>
  <c r="I87" i="4"/>
  <c r="H87" i="4"/>
  <c r="M86" i="4"/>
  <c r="N86" i="4" s="1"/>
  <c r="I85" i="4"/>
  <c r="M85" i="4" s="1"/>
  <c r="N85" i="4" s="1"/>
  <c r="K84" i="4"/>
  <c r="M84" i="4" s="1"/>
  <c r="N80" i="4"/>
  <c r="M80" i="4"/>
  <c r="L80" i="4"/>
  <c r="K80" i="4"/>
  <c r="J80" i="4"/>
  <c r="I80" i="4"/>
  <c r="H80" i="4"/>
  <c r="N79" i="4"/>
  <c r="M79" i="4"/>
  <c r="L70" i="4"/>
  <c r="K70" i="4"/>
  <c r="J70" i="4"/>
  <c r="I70" i="4"/>
  <c r="H70" i="4"/>
  <c r="M69" i="4"/>
  <c r="M70" i="4" s="1"/>
  <c r="L66" i="4"/>
  <c r="J66" i="4"/>
  <c r="H66" i="4"/>
  <c r="I65" i="4"/>
  <c r="M65" i="4" s="1"/>
  <c r="N65" i="4" s="1"/>
  <c r="K64" i="4"/>
  <c r="K66" i="4" s="1"/>
  <c r="I64" i="4"/>
  <c r="M64" i="4" s="1"/>
  <c r="M59" i="4"/>
  <c r="N59" i="4" s="1"/>
  <c r="I59" i="4"/>
  <c r="L57" i="4"/>
  <c r="K57" i="4"/>
  <c r="J57" i="4"/>
  <c r="H57" i="4"/>
  <c r="I56" i="4"/>
  <c r="I57" i="4" s="1"/>
  <c r="L52" i="4"/>
  <c r="J52" i="4"/>
  <c r="I52" i="4"/>
  <c r="H52" i="4"/>
  <c r="M51" i="4"/>
  <c r="N51" i="4" s="1"/>
  <c r="K50" i="4"/>
  <c r="K52" i="4" s="1"/>
  <c r="L46" i="4"/>
  <c r="K46" i="4"/>
  <c r="J46" i="4"/>
  <c r="H46" i="4"/>
  <c r="I45" i="4"/>
  <c r="I46" i="4" s="1"/>
  <c r="L40" i="4"/>
  <c r="H40" i="4"/>
  <c r="J39" i="4"/>
  <c r="I39" i="4"/>
  <c r="I40" i="4" s="1"/>
  <c r="L35" i="4"/>
  <c r="K35" i="4"/>
  <c r="J35" i="4"/>
  <c r="H35" i="4"/>
  <c r="M34" i="4"/>
  <c r="N34" i="4" s="1"/>
  <c r="I33" i="4"/>
  <c r="I35" i="4" s="1"/>
  <c r="M32" i="4"/>
  <c r="L28" i="4"/>
  <c r="K28" i="4"/>
  <c r="J28" i="4"/>
  <c r="I28" i="4"/>
  <c r="H28" i="4"/>
  <c r="M27" i="4"/>
  <c r="N27" i="4" s="1"/>
  <c r="M26" i="4"/>
  <c r="N26" i="4" s="1"/>
  <c r="M25" i="4"/>
  <c r="M28" i="4" s="1"/>
  <c r="L21" i="4"/>
  <c r="K21" i="4"/>
  <c r="I21" i="4"/>
  <c r="H21" i="4"/>
  <c r="M20" i="4"/>
  <c r="M21" i="4" s="1"/>
  <c r="M16" i="4"/>
  <c r="L16" i="4"/>
  <c r="K16" i="4"/>
  <c r="J16" i="4"/>
  <c r="I16" i="4"/>
  <c r="H16" i="4"/>
  <c r="M15" i="4"/>
  <c r="N15" i="4" s="1"/>
  <c r="I15" i="4"/>
  <c r="M14" i="4"/>
  <c r="N14" i="4" s="1"/>
  <c r="N16" i="4" s="1"/>
  <c r="N84" i="4" l="1"/>
  <c r="N87" i="4" s="1"/>
  <c r="M87" i="4"/>
  <c r="M66" i="4"/>
  <c r="N64" i="4"/>
  <c r="N66" i="4" s="1"/>
  <c r="I113" i="4"/>
  <c r="K113" i="4"/>
  <c r="M107" i="4"/>
  <c r="N104" i="4"/>
  <c r="N107" i="4" s="1"/>
  <c r="M39" i="4"/>
  <c r="N20" i="4"/>
  <c r="N21" i="4" s="1"/>
  <c r="M33" i="4"/>
  <c r="N33" i="4" s="1"/>
  <c r="M56" i="4"/>
  <c r="M96" i="4"/>
  <c r="M50" i="4"/>
  <c r="M45" i="4"/>
  <c r="I66" i="4"/>
  <c r="N32" i="4"/>
  <c r="N25" i="4"/>
  <c r="N28" i="4" s="1"/>
  <c r="N69" i="4"/>
  <c r="N70" i="4" s="1"/>
  <c r="N35" i="4" l="1"/>
  <c r="N45" i="4"/>
  <c r="N46" i="4" s="1"/>
  <c r="M46" i="4"/>
  <c r="N50" i="4"/>
  <c r="N52" i="4" s="1"/>
  <c r="M52" i="4"/>
  <c r="M35" i="4"/>
  <c r="N56" i="4"/>
  <c r="N57" i="4" s="1"/>
  <c r="M57" i="4"/>
  <c r="M40" i="4"/>
  <c r="N39" i="4"/>
  <c r="N40" i="4" s="1"/>
  <c r="M101" i="4"/>
  <c r="M113" i="4" s="1"/>
  <c r="N96" i="4"/>
  <c r="N101" i="4" s="1"/>
  <c r="N113" i="4" s="1"/>
  <c r="I19" i="3" l="1"/>
  <c r="J18" i="3"/>
  <c r="J19" i="3" s="1"/>
  <c r="H18" i="3"/>
  <c r="H19" i="3" s="1"/>
  <c r="G18" i="3"/>
  <c r="G19" i="3" s="1"/>
  <c r="F18" i="3"/>
  <c r="F19" i="3" s="1"/>
  <c r="K17" i="3"/>
  <c r="K18" i="3" s="1"/>
  <c r="K19" i="3" s="1"/>
  <c r="K16" i="3"/>
  <c r="L16" i="3" s="1"/>
  <c r="K15" i="3"/>
  <c r="L15" i="3" s="1"/>
  <c r="K14" i="3"/>
  <c r="K13" i="3"/>
  <c r="L13" i="3" s="1"/>
  <c r="L17" i="3" l="1"/>
  <c r="L18" i="3" s="1"/>
  <c r="L19" i="3" s="1"/>
  <c r="J17" i="2" l="1"/>
  <c r="J18" i="2" s="1"/>
  <c r="I17" i="2"/>
  <c r="H17" i="2"/>
  <c r="H18" i="2" s="1"/>
  <c r="G17" i="2"/>
  <c r="G18" i="2" s="1"/>
  <c r="F17" i="2"/>
  <c r="F18" i="2" s="1"/>
  <c r="K16" i="2"/>
  <c r="L16" i="2" s="1"/>
  <c r="K15" i="2"/>
  <c r="L15" i="2" s="1"/>
  <c r="K14" i="2"/>
  <c r="L14" i="2" s="1"/>
  <c r="K13" i="2"/>
  <c r="K17" i="2" s="1"/>
  <c r="K18" i="2" s="1"/>
  <c r="L13" i="2" l="1"/>
  <c r="L17" i="2" s="1"/>
  <c r="L18" i="2" s="1"/>
  <c r="G203" i="1" l="1"/>
  <c r="J104" i="1"/>
  <c r="H197" i="1"/>
  <c r="H191" i="1"/>
  <c r="H154" i="1"/>
  <c r="J197" i="1"/>
  <c r="J191" i="1"/>
  <c r="J178" i="1"/>
  <c r="J161" i="1"/>
  <c r="J154" i="1"/>
  <c r="J140" i="1"/>
  <c r="I140" i="1"/>
  <c r="H140" i="1"/>
  <c r="G140" i="1"/>
  <c r="F140" i="1"/>
  <c r="J41" i="1"/>
  <c r="E223" i="1"/>
  <c r="E224" i="1" s="1"/>
  <c r="D223" i="1"/>
  <c r="D224" i="1" s="1"/>
  <c r="F223" i="1"/>
  <c r="F224" i="1" s="1"/>
  <c r="C223" i="1"/>
  <c r="C224" i="1" s="1"/>
  <c r="J50" i="1"/>
  <c r="H50" i="1"/>
  <c r="F46" i="1"/>
  <c r="I54" i="1"/>
  <c r="G54" i="1"/>
  <c r="G224" i="1"/>
  <c r="H222" i="1"/>
  <c r="I222" i="1" s="1"/>
  <c r="I221" i="1"/>
  <c r="K194" i="1"/>
  <c r="K188" i="1"/>
  <c r="L188" i="1" s="1"/>
  <c r="K159" i="1"/>
  <c r="K189" i="1"/>
  <c r="K10" i="1"/>
  <c r="K172" i="1"/>
  <c r="K170" i="1"/>
  <c r="K169" i="1"/>
  <c r="K19" i="1"/>
  <c r="J147" i="1"/>
  <c r="J90" i="1"/>
  <c r="J79" i="1"/>
  <c r="J84" i="1"/>
  <c r="J202" i="1"/>
  <c r="K176" i="1"/>
  <c r="K177" i="1"/>
  <c r="J166" i="1"/>
  <c r="J132" i="1"/>
  <c r="J98" i="1"/>
  <c r="J70" i="1"/>
  <c r="J60" i="1"/>
  <c r="J55" i="1"/>
  <c r="J25" i="1"/>
  <c r="J20" i="1"/>
  <c r="H166" i="1"/>
  <c r="H147" i="1"/>
  <c r="H132" i="1"/>
  <c r="H104" i="1"/>
  <c r="H98" i="1"/>
  <c r="H90" i="1"/>
  <c r="H84" i="1"/>
  <c r="H79" i="1"/>
  <c r="H70" i="1"/>
  <c r="H55" i="1"/>
  <c r="H41" i="1"/>
  <c r="H34" i="1"/>
  <c r="H25" i="1"/>
  <c r="H20" i="1"/>
  <c r="L10" i="1"/>
  <c r="L169" i="1" l="1"/>
  <c r="H223" i="1"/>
  <c r="I223" i="1" s="1"/>
  <c r="I224" i="1" s="1"/>
  <c r="H224" i="1"/>
  <c r="F154" i="1"/>
  <c r="F147" i="1"/>
  <c r="F132" i="1"/>
  <c r="F98" i="1"/>
  <c r="F90" i="1"/>
  <c r="F84" i="1"/>
  <c r="F20" i="1"/>
  <c r="F202" i="1"/>
  <c r="K158" i="1"/>
  <c r="L158" i="1" s="1"/>
  <c r="K44" i="1"/>
  <c r="L44" i="1" s="1"/>
  <c r="I157" i="1"/>
  <c r="I161" i="1" s="1"/>
  <c r="I147" i="1"/>
  <c r="I104" i="1"/>
  <c r="G104" i="1"/>
  <c r="K102" i="1"/>
  <c r="I132" i="1"/>
  <c r="G132" i="1"/>
  <c r="I48" i="1"/>
  <c r="I46" i="1"/>
  <c r="G46" i="1"/>
  <c r="F38" i="1"/>
  <c r="F41" i="1" s="1"/>
  <c r="I24" i="1"/>
  <c r="G20" i="1"/>
  <c r="K16" i="1"/>
  <c r="I20" i="1"/>
  <c r="I200" i="1"/>
  <c r="H200" i="1"/>
  <c r="H202" i="1" s="1"/>
  <c r="I185" i="1"/>
  <c r="G185" i="1"/>
  <c r="H157" i="1"/>
  <c r="G157" i="1"/>
  <c r="G161" i="1" s="1"/>
  <c r="F157" i="1"/>
  <c r="F161" i="1" s="1"/>
  <c r="I165" i="1"/>
  <c r="G165" i="1"/>
  <c r="F165" i="1"/>
  <c r="F166" i="1" s="1"/>
  <c r="K14" i="1"/>
  <c r="L14" i="1" s="1"/>
  <c r="K121" i="1"/>
  <c r="I88" i="1"/>
  <c r="I90" i="1" s="1"/>
  <c r="G88" i="1"/>
  <c r="G48" i="1"/>
  <c r="K54" i="1"/>
  <c r="K55" i="1" s="1"/>
  <c r="F54" i="1"/>
  <c r="I171" i="1"/>
  <c r="G171" i="1"/>
  <c r="K89" i="1"/>
  <c r="I68" i="1"/>
  <c r="G68" i="1"/>
  <c r="I195" i="1"/>
  <c r="I197" i="1" s="1"/>
  <c r="F33" i="1"/>
  <c r="G195" i="1"/>
  <c r="G197" i="1" s="1"/>
  <c r="F195" i="1"/>
  <c r="F197" i="1" s="1"/>
  <c r="G173" i="1"/>
  <c r="F173" i="1"/>
  <c r="F178" i="1" s="1"/>
  <c r="I187" i="1"/>
  <c r="G187" i="1"/>
  <c r="F187" i="1"/>
  <c r="I59" i="1"/>
  <c r="K181" i="1"/>
  <c r="F50" i="1"/>
  <c r="I38" i="1"/>
  <c r="I41" i="1" s="1"/>
  <c r="G38" i="1"/>
  <c r="G41" i="1" s="1"/>
  <c r="H59" i="1"/>
  <c r="H60" i="1" s="1"/>
  <c r="G59" i="1"/>
  <c r="K59" i="1" s="1"/>
  <c r="K60" i="1" s="1"/>
  <c r="F59" i="1"/>
  <c r="F77" i="1"/>
  <c r="F79" i="1" s="1"/>
  <c r="I77" i="1"/>
  <c r="I79" i="1" s="1"/>
  <c r="G77" i="1"/>
  <c r="I33" i="1"/>
  <c r="G33" i="1"/>
  <c r="G24" i="1"/>
  <c r="F24" i="1"/>
  <c r="F25" i="1" s="1"/>
  <c r="K126" i="1"/>
  <c r="K195" i="1" l="1"/>
  <c r="H161" i="1"/>
  <c r="K48" i="1"/>
  <c r="K46" i="1"/>
  <c r="K171" i="1"/>
  <c r="F34" i="1"/>
  <c r="K88" i="1"/>
  <c r="K90" i="1" s="1"/>
  <c r="K24" i="1"/>
  <c r="G147" i="1"/>
  <c r="K146" i="1"/>
  <c r="K147" i="1" s="1"/>
  <c r="G79" i="1"/>
  <c r="K77" i="1"/>
  <c r="K165" i="1"/>
  <c r="L165" i="1" s="1"/>
  <c r="K157" i="1"/>
  <c r="K185" i="1"/>
  <c r="L185" i="1" s="1"/>
  <c r="G90" i="1"/>
  <c r="L89" i="1"/>
  <c r="K68" i="1"/>
  <c r="K187" i="1"/>
  <c r="L187" i="1" s="1"/>
  <c r="L54" i="1"/>
  <c r="L159" i="1"/>
  <c r="K38" i="1"/>
  <c r="K15" i="1"/>
  <c r="L157" i="1" l="1"/>
  <c r="L24" i="1"/>
  <c r="K25" i="1"/>
  <c r="L38" i="1"/>
  <c r="L146" i="1"/>
  <c r="L147" i="1" s="1"/>
  <c r="L195" i="1"/>
  <c r="L177" i="1"/>
  <c r="J33" i="1"/>
  <c r="K33" i="1" l="1"/>
  <c r="L33" i="1" s="1"/>
  <c r="J34" i="1"/>
  <c r="J203" i="1" s="1"/>
  <c r="G178" i="1"/>
  <c r="I173" i="1"/>
  <c r="H173" i="1"/>
  <c r="H178" i="1" s="1"/>
  <c r="H203" i="1" s="1"/>
  <c r="I190" i="1"/>
  <c r="I191" i="1" s="1"/>
  <c r="G190" i="1"/>
  <c r="G191" i="1" s="1"/>
  <c r="F190" i="1"/>
  <c r="F191" i="1" s="1"/>
  <c r="F68" i="1"/>
  <c r="F70" i="1" s="1"/>
  <c r="F102" i="1"/>
  <c r="F104" i="1" s="1"/>
  <c r="K190" i="1" l="1"/>
  <c r="L190" i="1" s="1"/>
  <c r="L102" i="1"/>
  <c r="I178" i="1"/>
  <c r="K173" i="1"/>
  <c r="L173" i="1" l="1"/>
  <c r="I201" i="1"/>
  <c r="I202" i="1" s="1"/>
  <c r="G201" i="1"/>
  <c r="G200" i="1"/>
  <c r="L194" i="1"/>
  <c r="K184" i="1"/>
  <c r="L184" i="1" s="1"/>
  <c r="K40" i="1"/>
  <c r="L40" i="1" s="1"/>
  <c r="K183" i="1"/>
  <c r="L183" i="1" s="1"/>
  <c r="K182" i="1"/>
  <c r="K175" i="1"/>
  <c r="L175" i="1" s="1"/>
  <c r="K196" i="1"/>
  <c r="K174" i="1"/>
  <c r="L172" i="1"/>
  <c r="L171" i="1"/>
  <c r="I164" i="1"/>
  <c r="G164" i="1"/>
  <c r="K160" i="1"/>
  <c r="K161" i="1" s="1"/>
  <c r="L189" i="1"/>
  <c r="K139" i="1"/>
  <c r="K137" i="1"/>
  <c r="L137" i="1" s="1"/>
  <c r="I154" i="1"/>
  <c r="G154" i="1"/>
  <c r="K153" i="1"/>
  <c r="L153" i="1" s="1"/>
  <c r="K152" i="1"/>
  <c r="L152" i="1" s="1"/>
  <c r="K151" i="1"/>
  <c r="K136" i="1"/>
  <c r="K128" i="1"/>
  <c r="L128" i="1" s="1"/>
  <c r="K127" i="1"/>
  <c r="L127" i="1" s="1"/>
  <c r="L126" i="1"/>
  <c r="K125" i="1"/>
  <c r="L125" i="1" s="1"/>
  <c r="K124" i="1"/>
  <c r="L124" i="1" s="1"/>
  <c r="K123" i="1"/>
  <c r="L123" i="1" s="1"/>
  <c r="K122" i="1"/>
  <c r="L121" i="1"/>
  <c r="K120" i="1"/>
  <c r="L120" i="1" s="1"/>
  <c r="K119" i="1"/>
  <c r="L119" i="1" s="1"/>
  <c r="K118" i="1"/>
  <c r="L118" i="1" s="1"/>
  <c r="K117" i="1"/>
  <c r="L117" i="1" s="1"/>
  <c r="K116" i="1"/>
  <c r="L116" i="1" s="1"/>
  <c r="K115" i="1"/>
  <c r="L115" i="1" s="1"/>
  <c r="K114" i="1"/>
  <c r="L114" i="1" s="1"/>
  <c r="K113" i="1"/>
  <c r="L113" i="1" s="1"/>
  <c r="K112" i="1"/>
  <c r="K111" i="1"/>
  <c r="I98" i="1"/>
  <c r="G98" i="1"/>
  <c r="K97" i="1"/>
  <c r="L97" i="1" s="1"/>
  <c r="K96" i="1"/>
  <c r="L96" i="1" s="1"/>
  <c r="K95" i="1"/>
  <c r="L95" i="1" s="1"/>
  <c r="K94" i="1"/>
  <c r="K129" i="1"/>
  <c r="L129" i="1" s="1"/>
  <c r="K130" i="1"/>
  <c r="L130" i="1" s="1"/>
  <c r="L176" i="1"/>
  <c r="K186" i="1"/>
  <c r="L186" i="1" s="1"/>
  <c r="K138" i="1"/>
  <c r="L138" i="1" s="1"/>
  <c r="K78" i="1"/>
  <c r="L78" i="1" s="1"/>
  <c r="L88" i="1"/>
  <c r="K103" i="1"/>
  <c r="K104" i="1" s="1"/>
  <c r="I83" i="1"/>
  <c r="I84" i="1" s="1"/>
  <c r="G83" i="1"/>
  <c r="L77" i="1"/>
  <c r="K76" i="1"/>
  <c r="I70" i="1"/>
  <c r="G70" i="1"/>
  <c r="K69" i="1"/>
  <c r="L69" i="1" s="1"/>
  <c r="L68" i="1"/>
  <c r="K67" i="1"/>
  <c r="L67" i="1" s="1"/>
  <c r="K66" i="1"/>
  <c r="L66" i="1" s="1"/>
  <c r="K65" i="1"/>
  <c r="L65" i="1" s="1"/>
  <c r="K64" i="1"/>
  <c r="I60" i="1"/>
  <c r="G60" i="1"/>
  <c r="F60" i="1"/>
  <c r="F55" i="1"/>
  <c r="F203" i="1" s="1"/>
  <c r="I55" i="1"/>
  <c r="I50" i="1"/>
  <c r="G50" i="1"/>
  <c r="K49" i="1"/>
  <c r="L49" i="1" s="1"/>
  <c r="L48" i="1"/>
  <c r="K47" i="1"/>
  <c r="L47" i="1" s="1"/>
  <c r="L46" i="1"/>
  <c r="K45" i="1"/>
  <c r="L181" i="1"/>
  <c r="K39" i="1"/>
  <c r="K41" i="1" s="1"/>
  <c r="I34" i="1"/>
  <c r="G34" i="1"/>
  <c r="K32" i="1"/>
  <c r="L32" i="1" s="1"/>
  <c r="K31" i="1"/>
  <c r="L31" i="1" s="1"/>
  <c r="K30" i="1"/>
  <c r="L30" i="1" s="1"/>
  <c r="K29" i="1"/>
  <c r="I25" i="1"/>
  <c r="K131" i="1"/>
  <c r="L131" i="1" s="1"/>
  <c r="L19" i="1"/>
  <c r="K18" i="1"/>
  <c r="L18" i="1" s="1"/>
  <c r="K17" i="1"/>
  <c r="L17" i="1" s="1"/>
  <c r="L16" i="1"/>
  <c r="L15" i="1"/>
  <c r="K13" i="1"/>
  <c r="L13" i="1" s="1"/>
  <c r="K12" i="1"/>
  <c r="L12" i="1" s="1"/>
  <c r="K11" i="1"/>
  <c r="K178" i="1" l="1"/>
  <c r="K191" i="1"/>
  <c r="L196" i="1"/>
  <c r="L197" i="1" s="1"/>
  <c r="K197" i="1"/>
  <c r="L151" i="1"/>
  <c r="L154" i="1" s="1"/>
  <c r="K154" i="1"/>
  <c r="L160" i="1"/>
  <c r="L161" i="1" s="1"/>
  <c r="K140" i="1"/>
  <c r="K50" i="1"/>
  <c r="K79" i="1"/>
  <c r="K70" i="1"/>
  <c r="K201" i="1"/>
  <c r="L201" i="1" s="1"/>
  <c r="K164" i="1"/>
  <c r="K200" i="1"/>
  <c r="G202" i="1"/>
  <c r="L182" i="1"/>
  <c r="L191" i="1" s="1"/>
  <c r="L174" i="1"/>
  <c r="L139" i="1"/>
  <c r="L111" i="1"/>
  <c r="K132" i="1"/>
  <c r="L94" i="1"/>
  <c r="L98" i="1" s="1"/>
  <c r="K98" i="1"/>
  <c r="L45" i="1"/>
  <c r="L50" i="1" s="1"/>
  <c r="L29" i="1"/>
  <c r="L34" i="1" s="1"/>
  <c r="K34" i="1"/>
  <c r="L11" i="1"/>
  <c r="L20" i="1" s="1"/>
  <c r="K20" i="1"/>
  <c r="L112" i="1"/>
  <c r="L136" i="1"/>
  <c r="L170" i="1"/>
  <c r="K83" i="1"/>
  <c r="K84" i="1" s="1"/>
  <c r="G166" i="1"/>
  <c r="I166" i="1"/>
  <c r="I203" i="1" s="1"/>
  <c r="L122" i="1"/>
  <c r="L55" i="1"/>
  <c r="G25" i="1"/>
  <c r="L25" i="1"/>
  <c r="G84" i="1"/>
  <c r="L103" i="1"/>
  <c r="L104" i="1" s="1"/>
  <c r="L64" i="1"/>
  <c r="L70" i="1" s="1"/>
  <c r="L76" i="1"/>
  <c r="L79" i="1" s="1"/>
  <c r="G55" i="1"/>
  <c r="L59" i="1"/>
  <c r="L60" i="1" s="1"/>
  <c r="L39" i="1"/>
  <c r="L41" i="1" s="1"/>
  <c r="L178" i="1" l="1"/>
  <c r="K202" i="1"/>
  <c r="L140" i="1"/>
  <c r="K166" i="1"/>
  <c r="L164" i="1"/>
  <c r="L132" i="1"/>
  <c r="L90" i="1"/>
  <c r="L200" i="1"/>
  <c r="L202" i="1" s="1"/>
  <c r="L83" i="1"/>
  <c r="L84" i="1" s="1"/>
  <c r="L166" i="1" l="1"/>
  <c r="L203" i="1" s="1"/>
  <c r="K20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Ivis N. Montero Matos</author>
  </authors>
  <commentList>
    <comment ref="L166" authorId="0" shapeId="0" xr:uid="{65736D90-A1AD-4FBB-B223-189E692F27B3}">
      <text>
        <r>
          <rPr>
            <b/>
            <sz val="9"/>
            <color indexed="81"/>
            <rFont val="Tahoma"/>
            <family val="2"/>
          </rPr>
          <t>Ivis N. Montero Matos:</t>
        </r>
        <r>
          <rPr>
            <sz val="9"/>
            <color indexed="81"/>
            <rFont val="Tahoma"/>
            <family val="2"/>
          </rPr>
          <t xml:space="preserve">
CONTINUAR AQUÍ CON DIFERENCIA DE 0.60</t>
        </r>
      </text>
    </comment>
  </commentList>
</comments>
</file>

<file path=xl/sharedStrings.xml><?xml version="1.0" encoding="utf-8"?>
<sst xmlns="http://schemas.openxmlformats.org/spreadsheetml/2006/main" count="1342" uniqueCount="374">
  <si>
    <t>No.</t>
  </si>
  <si>
    <t>Servidor Público</t>
  </si>
  <si>
    <t>Cargo</t>
  </si>
  <si>
    <t>Estatus</t>
  </si>
  <si>
    <t>AFP</t>
  </si>
  <si>
    <t>SFS</t>
  </si>
  <si>
    <t>ISR</t>
  </si>
  <si>
    <t>DIRECTOR GENERAL</t>
  </si>
  <si>
    <t>SRA. CATALINA FELIZ TERRERO</t>
  </si>
  <si>
    <t>TECNICO ADMINISTRATIVO</t>
  </si>
  <si>
    <t>Actividad: 0001</t>
  </si>
  <si>
    <t>Actividad: 0002</t>
  </si>
  <si>
    <t>COORDINADOR ACADEMICO</t>
  </si>
  <si>
    <t>Genero</t>
  </si>
  <si>
    <t>M</t>
  </si>
  <si>
    <t>F</t>
  </si>
  <si>
    <t>DAF: 01</t>
  </si>
  <si>
    <t>UE: 0002</t>
  </si>
  <si>
    <t>Programa: 17</t>
  </si>
  <si>
    <t>Proyecto: 0</t>
  </si>
  <si>
    <t>Fondo: 0100</t>
  </si>
  <si>
    <t xml:space="preserve">                              PREPARADO POR:</t>
  </si>
  <si>
    <t>APROBADO POR:</t>
  </si>
  <si>
    <t>REVISADO POR:</t>
  </si>
  <si>
    <t>Sub Total:</t>
  </si>
  <si>
    <t>ENC. ADMINISTRATIVO FINANCIERO</t>
  </si>
  <si>
    <t>Sub Capitulo: 01</t>
  </si>
  <si>
    <t>Sub Programa: 02</t>
  </si>
  <si>
    <t>Ingreso Bruto</t>
  </si>
  <si>
    <t>Neto</t>
  </si>
  <si>
    <t>Total Desc.</t>
  </si>
  <si>
    <t>Otros Desc.</t>
  </si>
  <si>
    <t xml:space="preserve">COORDINADOR ACADÉMICO         </t>
  </si>
  <si>
    <t>ANALISTA FINANCIERO</t>
  </si>
  <si>
    <t>SR. GREGORIO MONTERO</t>
  </si>
  <si>
    <t>ANALISTA DE RECURSOS HUMANOS</t>
  </si>
  <si>
    <t>ANALISTA LEGAL</t>
  </si>
  <si>
    <t>Capitulo: 0221</t>
  </si>
  <si>
    <t>Cuenta: 2.1.1.1.0.1</t>
  </si>
  <si>
    <t>Dirección General</t>
  </si>
  <si>
    <t>ROSA LINDA PEREZ MEDRANO</t>
  </si>
  <si>
    <t>ASISTENTE DEL DIRECTOR</t>
  </si>
  <si>
    <t>SERVIDOR PÚBLICO DE CARRERA</t>
  </si>
  <si>
    <t>GREGORIO DE JESUS MONTERO MONTERO</t>
  </si>
  <si>
    <t xml:space="preserve">FUNCIONARIO DE LIBRE NOMBRAMIENTO Y REMOCIÓN </t>
  </si>
  <si>
    <t>ROSA CAMILA RIVERA ACOSTA</t>
  </si>
  <si>
    <t>SUB DIRECTORA</t>
  </si>
  <si>
    <t>ANGEL EDUARDO FAMILIA JIMENEZ</t>
  </si>
  <si>
    <t>SUB-DIRECTOR</t>
  </si>
  <si>
    <t>FRANCISCO ANIBAL GONZALEZ</t>
  </si>
  <si>
    <t>ASESOR (A)</t>
  </si>
  <si>
    <t>SERVIDOR PUBLICO NOMBRADO</t>
  </si>
  <si>
    <t>SONIA ESTHER LOPEZ PEREZ</t>
  </si>
  <si>
    <t>LESLIE SIRAHIDEE UREÑA MELLA</t>
  </si>
  <si>
    <t>ASISTENTE DE LA SUBDIRECCION</t>
  </si>
  <si>
    <t>SERVIDOR PÚBLICO NOMBRADO</t>
  </si>
  <si>
    <t>SARAH STEFFANY TORRES GOMEZ</t>
  </si>
  <si>
    <t>SANDY NICOLAS LUCIANO MATOS</t>
  </si>
  <si>
    <t>CHOFER DEL DIRECTOR</t>
  </si>
  <si>
    <t>DANESCA MARRERO MARCANO</t>
  </si>
  <si>
    <t>ERICKA LORENZO DE LA ROSA</t>
  </si>
  <si>
    <t>CONSERJE</t>
  </si>
  <si>
    <t>Sección de Libre Acceso a la Información</t>
  </si>
  <si>
    <t>DRIADES NAYADE FERRERAS GOMEZ</t>
  </si>
  <si>
    <t>ENC. SECCION LIBRE ACCESO A LA INFORMACION  RAI</t>
  </si>
  <si>
    <t>Departamento de Comunicaciones</t>
  </si>
  <si>
    <t>MIGUEL ANGEL BONIFACIO PEÑA</t>
  </si>
  <si>
    <t>REALIZADOR AUDIOVISUAL</t>
  </si>
  <si>
    <t>JACQUELINE ALTAGRACIA RAMOS CONCEPCION</t>
  </si>
  <si>
    <t>ASESORA</t>
  </si>
  <si>
    <t>GIANNA  DE JESUS ORTIZ ZACARIAS</t>
  </si>
  <si>
    <t>ARLET NATIVIDAD REYES ROJAS</t>
  </si>
  <si>
    <t>GESTOR DE REDES SOCIALES</t>
  </si>
  <si>
    <t>SADAM SEBASTIAN SURIEL DELORBE</t>
  </si>
  <si>
    <t>TECNICO EN COMUNICACIÓN</t>
  </si>
  <si>
    <t xml:space="preserve">Departamento Jurídico </t>
  </si>
  <si>
    <t>MANUEL ANTONIO BAUTISTA MEJIA</t>
  </si>
  <si>
    <t>YASAIRA ENCARNACION LARA</t>
  </si>
  <si>
    <t>AUXILIAR ADMINISTRATIVO I</t>
  </si>
  <si>
    <t>Departamento de Recursos Humanos</t>
  </si>
  <si>
    <t>CLARIVEL CASTRO</t>
  </si>
  <si>
    <t>ENC. DPTO. DE RECURSOS HUMANO</t>
  </si>
  <si>
    <t>MARIA ESTELA CLEMENTE GIL</t>
  </si>
  <si>
    <t>ENC, DPTO. DE RECURSOS HUMANOS</t>
  </si>
  <si>
    <t>SERVIDOR PUBLICO DE CARRERA</t>
  </si>
  <si>
    <t>DEBRA STEPHANIE HERNANDEZ MORALES</t>
  </si>
  <si>
    <t>SONIA CASTILLO GERALDO</t>
  </si>
  <si>
    <t>JOSE AMAURIS NOBLE JIMENEZ</t>
  </si>
  <si>
    <t>RUT SOLANGE GUZMAN ADAMES</t>
  </si>
  <si>
    <t>DAURY CASANOVA MONTERO</t>
  </si>
  <si>
    <t>SECRETARIA</t>
  </si>
  <si>
    <t>Departamento de Planificación y Desarrollo</t>
  </si>
  <si>
    <t>División Contabilidad</t>
  </si>
  <si>
    <t>BERONICA BONILLA</t>
  </si>
  <si>
    <t>AUXILIAR ADMINISTRATIVO (A)</t>
  </si>
  <si>
    <t>División de Desarrollo Institucional y Calidad de la Gestión</t>
  </si>
  <si>
    <t>CRONNY MABEL PEREZ  PEREZ</t>
  </si>
  <si>
    <t>ENC. INTERINA DEPTO. DE DESARROLLO INSTITUCIONAL Y CALIDAD</t>
  </si>
  <si>
    <t>Departamento de Tecnologías de la Información y Comunicación</t>
  </si>
  <si>
    <t>NARCISO JIMENEZ DE LOS SANTOS</t>
  </si>
  <si>
    <t>AUXILIAR COORDINANCION VIRTUAL</t>
  </si>
  <si>
    <t>ANGEL WANDER MOREZUX FULCAR</t>
  </si>
  <si>
    <t>ADMINISTRADOR DE RED</t>
  </si>
  <si>
    <t>CHEEDY JIOWETHER JAMES</t>
  </si>
  <si>
    <t>ENC. DIVISION DE TECNOLOGIAS DE LA INFORMACION Y COMUNICACION</t>
  </si>
  <si>
    <t>RAFAEL ANTONIO TAVAREZ ROSADO</t>
  </si>
  <si>
    <t>WEB MASTER</t>
  </si>
  <si>
    <t>RAFAEL ANGEL MARTINEZ SORIANO</t>
  </si>
  <si>
    <t>TECNICO EN PROGRAMACION</t>
  </si>
  <si>
    <t>FABIAN ESTABAN MATOS ENCARNACION</t>
  </si>
  <si>
    <t>AUXILIAR ADMINISTRATIVO</t>
  </si>
  <si>
    <t>Departamento Administrativo Financiero</t>
  </si>
  <si>
    <t>CATALINA FELIZ TERRERO</t>
  </si>
  <si>
    <t>ENC. ADMINISTRATIVO Y FINANCIERO</t>
  </si>
  <si>
    <t>LLUMERQUI ANTONIO LEDESMA DIAZ</t>
  </si>
  <si>
    <t>Sección de Presupuesto</t>
  </si>
  <si>
    <t>JUANA MARIA RODRIGUEZ GARCIA</t>
  </si>
  <si>
    <t>División de Contabilidad</t>
  </si>
  <si>
    <t xml:space="preserve">ANALISTA DE COMPRAS Y CONTRATACIONES   </t>
  </si>
  <si>
    <t>IVIS NEWILL MONTERO MATOS</t>
  </si>
  <si>
    <t>CONTADORA</t>
  </si>
  <si>
    <t>ALBA IRIS PEÑA MARRERO</t>
  </si>
  <si>
    <t>División Administrativa</t>
  </si>
  <si>
    <t>EMILIANO DEL ROSARIO GENAO</t>
  </si>
  <si>
    <t>CONTADOR</t>
  </si>
  <si>
    <t>SUSANA DURAN SANCHEZ</t>
  </si>
  <si>
    <t>RECEPCIONISTA</t>
  </si>
  <si>
    <t>FATIMA DEL ROSARIO MESA BATISTA</t>
  </si>
  <si>
    <t>VICTOR ALFONSO MORILLO GONZALEZ</t>
  </si>
  <si>
    <t>CHOFER</t>
  </si>
  <si>
    <t>ALEXANDRA ACOSTA</t>
  </si>
  <si>
    <t>DANIS RAMIREZ MONTERO</t>
  </si>
  <si>
    <t>MARIA ALEJANDRINA MELENDEZ GERALDO</t>
  </si>
  <si>
    <t xml:space="preserve">AUXILIAR ADMINISTRATIVO         </t>
  </si>
  <si>
    <t>NICOLLE FRANSHESCA CANARIO SANTOS</t>
  </si>
  <si>
    <t>JORDANY ROSARIO MARTINEZ</t>
  </si>
  <si>
    <t>Sección de Compras y Contrataciones</t>
  </si>
  <si>
    <t>KEICI ORTIZ BATISTA</t>
  </si>
  <si>
    <t>Sección de Servicios Generales</t>
  </si>
  <si>
    <t>ANA HILDA RAMIREZ MELLA</t>
  </si>
  <si>
    <t>ABRAHAN FRANCISCO COMARAZAMY FLORENTINO</t>
  </si>
  <si>
    <t>ENC. SECCION DE SERVICIO GENERALES</t>
  </si>
  <si>
    <t>REGINA JIMENEZ DE LA CRUZ</t>
  </si>
  <si>
    <t>SERVIDOR PÚBLISO DE CARRERA</t>
  </si>
  <si>
    <t>AURELINA ROJAS</t>
  </si>
  <si>
    <t>HERMINIA ENCARNACION ROSARIO</t>
  </si>
  <si>
    <t>ELENA FLORENTINO</t>
  </si>
  <si>
    <t>YAJAHIRA GARCIA CLETO</t>
  </si>
  <si>
    <t xml:space="preserve">CONSERJE </t>
  </si>
  <si>
    <t xml:space="preserve">CARLOS JESUS ALMEYDA CALCAÑO </t>
  </si>
  <si>
    <t>ELECTRICISTA</t>
  </si>
  <si>
    <t>WINSTON RAFAEL CABRERA ENCARNACION</t>
  </si>
  <si>
    <t>AYUDANTE DE MATENIMIENTO</t>
  </si>
  <si>
    <t>JOSE GALAN ROSARIO</t>
  </si>
  <si>
    <t>ALEX MILLER BAEZ URIBE</t>
  </si>
  <si>
    <t>MILCO JUNIOR PILARTE RODRÍGUEZ</t>
  </si>
  <si>
    <t>MENSAJERO EXTERNO</t>
  </si>
  <si>
    <t>BRYAN ANEURYS CABRERA RODRÍGUEZ</t>
  </si>
  <si>
    <t xml:space="preserve">CHOFER         </t>
  </si>
  <si>
    <t>RANDY ANTHONY MARTINEZ LEYBA</t>
  </si>
  <si>
    <t>CAROLINA VARGAS VASQUEZ</t>
  </si>
  <si>
    <t>EDWARD MARTINEZ POZO</t>
  </si>
  <si>
    <t>KELVIN REVI ALMANZAR</t>
  </si>
  <si>
    <t>PABLO ANTONIO DIAZ GARCIA</t>
  </si>
  <si>
    <t>JERSON RIVERA FIGUEREO</t>
  </si>
  <si>
    <t xml:space="preserve">Departamento de Formación Docente </t>
  </si>
  <si>
    <t>WILKANIA YASSIEL PEÑA ROJAS</t>
  </si>
  <si>
    <t>ROSA MARIA BONILLA MONTERO</t>
  </si>
  <si>
    <t>Sub-Capitulo: 01</t>
  </si>
  <si>
    <t>UE:
0002</t>
  </si>
  <si>
    <t>Sub-Programa 
02</t>
  </si>
  <si>
    <t>Proyecto 
0</t>
  </si>
  <si>
    <t>Cuenta 2.1.1.1.0.1</t>
  </si>
  <si>
    <t>Fondo:
0100</t>
  </si>
  <si>
    <t xml:space="preserve">Departamento de Investigación e Innovación </t>
  </si>
  <si>
    <t>ALEXANDRA IRONIA LIBERATO RODRIGUEZ</t>
  </si>
  <si>
    <t xml:space="preserve">ENC. DEPARTAMENTO INVESTIGACION         </t>
  </si>
  <si>
    <t>NANCY MIGUELINA DRULLARD FELIZ</t>
  </si>
  <si>
    <t>HILDA ARASELIS CASTRO HUGGINS</t>
  </si>
  <si>
    <t>ANALISTA DE ACREDITACION Y CERTIFICACION</t>
  </si>
  <si>
    <t>HEIDI CAROLINA DE LA CRUZ</t>
  </si>
  <si>
    <t>Departamento Técnico Académico</t>
  </si>
  <si>
    <t>DEILIN RICARDO MATOS CARRASCO</t>
  </si>
  <si>
    <t>AUXILIAR ACADEMICO</t>
  </si>
  <si>
    <t>RIXI ALONDRA MELO AQUINO</t>
  </si>
  <si>
    <t>ALBERT MANUEL FIGUEREO RINCON</t>
  </si>
  <si>
    <t>LEA PAULINO MORALES</t>
  </si>
  <si>
    <t>JULANY VALENTINA CUESTA GUZMAN</t>
  </si>
  <si>
    <t>ENC. DEPARTAMENTO TECNICO ACADEMICO</t>
  </si>
  <si>
    <t>MIGUELINA CORPORAN RODRIGUEZ</t>
  </si>
  <si>
    <t>División de Desarrollo Curricular y Docente</t>
  </si>
  <si>
    <t>LUZ MARIA BATISTA GALVAN</t>
  </si>
  <si>
    <t>COORDINADORA CAPAC. Y DESARROLLO</t>
  </si>
  <si>
    <t>ANA PATRICIA CASTRO MENDOZA</t>
  </si>
  <si>
    <t>Departamento de Extensiones</t>
  </si>
  <si>
    <r>
      <t xml:space="preserve">KIRSY ALANA MEJIA UBIERA </t>
    </r>
    <r>
      <rPr>
        <i/>
        <sz val="12"/>
        <color rgb="FF000000"/>
        <rFont val="Times New Roman"/>
        <family val="1"/>
      </rPr>
      <t>(San Pedro de Macorís)</t>
    </r>
  </si>
  <si>
    <r>
      <t>MARIO RODRIGUEZ MONTERO</t>
    </r>
    <r>
      <rPr>
        <i/>
        <sz val="12"/>
        <color rgb="FF000000"/>
        <rFont val="Times New Roman"/>
        <family val="1"/>
      </rPr>
      <t xml:space="preserve"> (San Juan de la Maguana)</t>
    </r>
  </si>
  <si>
    <t>EURIDICE WALKIRIA DIAZ LIRANZO</t>
  </si>
  <si>
    <t>SECRETARIA I</t>
  </si>
  <si>
    <r>
      <t xml:space="preserve">YORCITO MATOS SANTOS </t>
    </r>
    <r>
      <rPr>
        <i/>
        <sz val="12"/>
        <color rgb="FF000000"/>
        <rFont val="Times New Roman"/>
        <family val="1"/>
      </rPr>
      <t>(Baní)</t>
    </r>
  </si>
  <si>
    <t>CARLOS MANUEL SANTOS</t>
  </si>
  <si>
    <t>ENC. DIVISION DE EXTENCIONES</t>
  </si>
  <si>
    <r>
      <t xml:space="preserve">RAMON FERNANDO TAVAREZ REYNOSO </t>
    </r>
    <r>
      <rPr>
        <i/>
        <sz val="12"/>
        <color rgb="FF000000"/>
        <rFont val="Times New Roman"/>
        <family val="1"/>
      </rPr>
      <t>(Santiago de los Caballeros)</t>
    </r>
  </si>
  <si>
    <t xml:space="preserve">AUXILIAR ADMINISTRATIVO </t>
  </si>
  <si>
    <t>PAMELA ARACHE</t>
  </si>
  <si>
    <t>BIENVENIDO ROSARIO CEBALLOS (Santiago de los Caballeros)</t>
  </si>
  <si>
    <t>División de  Coordinación de Eventos Formativos</t>
  </si>
  <si>
    <t>NICOLAS SALAS GRAJALES</t>
  </si>
  <si>
    <t>SANTA TERESA LOPEZ FELIZ</t>
  </si>
  <si>
    <t>ELIEZER RAMIREZ MEDINA</t>
  </si>
  <si>
    <t>JACKIRI ALEXANDRA CARRION RAMOS</t>
  </si>
  <si>
    <t>NARDIN GERALDO HEREDIA</t>
  </si>
  <si>
    <t>COORDINADOR (A)</t>
  </si>
  <si>
    <t>MARIA ISABEL JIMENEZ CASTRO</t>
  </si>
  <si>
    <t>OFICIAL ACADEMICO</t>
  </si>
  <si>
    <t>División de Admisión e Información</t>
  </si>
  <si>
    <t>ISAAC ESPINOSA GUZMAN</t>
  </si>
  <si>
    <t>JENCY IVERSON CARABALLO GUZMAN</t>
  </si>
  <si>
    <t>ENC. INTERINO DIVISION DE ADMISION E INFORMACION</t>
  </si>
  <si>
    <t>ELIZABETH ANJINETH TRONCOSO FIGUEROA</t>
  </si>
  <si>
    <t>ENC. INTERINO DIVISION DE COORDINACION Y PROFESIONALIZACION</t>
  </si>
  <si>
    <t>MIRIAM CAMBERO MARTE</t>
  </si>
  <si>
    <t>ENC. DIVISION ADMISION Y REGISTRO ACADEMICO</t>
  </si>
  <si>
    <t>División de Coordinación de Profesionalización</t>
  </si>
  <si>
    <t xml:space="preserve"> </t>
  </si>
  <si>
    <t xml:space="preserve">                                                    SRA. IVIS N. MONTERO MATOS</t>
  </si>
  <si>
    <t xml:space="preserve">                                   CONTADORA</t>
  </si>
  <si>
    <t>Total General</t>
  </si>
  <si>
    <t>ELSA YSABEL PIMENTEL DEL VILLAR</t>
  </si>
  <si>
    <t>89</t>
  </si>
  <si>
    <t>88</t>
  </si>
  <si>
    <t>SECRETARIA DIRECTOR GENERAL</t>
  </si>
  <si>
    <t>ENC. SECCION DE COMPRAS Y CONTRATACIONES</t>
  </si>
  <si>
    <t>RHINA YOMIRA PEÑA BELLO</t>
  </si>
  <si>
    <t>ANALISTA DE COMPRAS Y CONTRATACIONES</t>
  </si>
  <si>
    <t>87</t>
  </si>
  <si>
    <t>86</t>
  </si>
  <si>
    <t>KATHIA VELEZ RAMIREZ</t>
  </si>
  <si>
    <t>83</t>
  </si>
  <si>
    <t>84</t>
  </si>
  <si>
    <t>85</t>
  </si>
  <si>
    <t>OMAR PALIN SERRANO</t>
  </si>
  <si>
    <t>Sección de Almacén</t>
  </si>
  <si>
    <t>INSTITUTO NACIONAL DE ADMINISTRACIÓN PÚBLICA 
(INAP)
NÓMINA DE PERSONAL FIJO CORRESPONDIENTES AL MES DE  AGOSTO 2026</t>
  </si>
  <si>
    <t>591.82</t>
  </si>
  <si>
    <t>82</t>
  </si>
  <si>
    <t>TOTAL INGRESOS</t>
  </si>
  <si>
    <t>OTRO DESC</t>
  </si>
  <si>
    <t>TOTAL DESC</t>
  </si>
  <si>
    <t>TOTAL NETO</t>
  </si>
  <si>
    <t xml:space="preserve">FIJO </t>
  </si>
  <si>
    <t>INTERINATO</t>
  </si>
  <si>
    <t>SUPLENCIA</t>
  </si>
  <si>
    <t>TOTALES GENERAL</t>
  </si>
  <si>
    <t>81</t>
  </si>
  <si>
    <t>102</t>
  </si>
  <si>
    <r>
      <t xml:space="preserve">INSTITUTO NACIONAL DE ADMINISTRACIÓN PÚBLICA 
(INAP)
</t>
    </r>
    <r>
      <rPr>
        <b/>
        <sz val="12"/>
        <color theme="1"/>
        <rFont val="Segoe UI"/>
        <family val="2"/>
      </rPr>
      <t>NÓMINA DEL PERSONALPERIODO PROBATORIO, CORRESPONDIENTE AL MES DE AGOSTO 2026</t>
    </r>
  </si>
  <si>
    <t>Capitulo: 221</t>
  </si>
  <si>
    <t>Cuenta: 2.1.2.2.0.5</t>
  </si>
  <si>
    <t>Direccion General</t>
  </si>
  <si>
    <t>CAMILA PAULINA RIJO</t>
  </si>
  <si>
    <t>ANALISTA COORDINACION DE EVENTOS FORMATIVOS</t>
  </si>
  <si>
    <t>PERIODO PROBATORIO INGRESO A CARRERA</t>
  </si>
  <si>
    <t>FRANCIS ALBERTO BONILLA DE JESUS</t>
  </si>
  <si>
    <t>ANALISTA COORDIANCION DE EVENTOS FORMATIVOS</t>
  </si>
  <si>
    <t>NATHALIA NICOLE CONCEPCION DE JESUS</t>
  </si>
  <si>
    <t>VIANELA MAYTEE PEREZ PANIAGUA</t>
  </si>
  <si>
    <t>Total General:</t>
  </si>
  <si>
    <t xml:space="preserve">                                            SRA. IVIS N. MONTERO MATOS</t>
  </si>
  <si>
    <t xml:space="preserve">                         CONTADORA</t>
  </si>
  <si>
    <r>
      <t xml:space="preserve">INSTITUTO NACIONAL DE ADMINISTRACIÓN PÚBLICA 
(INAP)
</t>
    </r>
    <r>
      <rPr>
        <b/>
        <sz val="12"/>
        <color theme="1"/>
        <rFont val="Segoe UI"/>
        <family val="2"/>
      </rPr>
      <t>NÓMINA DE PERSONAL DE VIGILANCIA, CORRESPONDIENTE AL MES DE AGOSTO 2026</t>
    </r>
  </si>
  <si>
    <t>JAIRO RAFAEL RODRIGUEZ ORTIZ</t>
  </si>
  <si>
    <t>ASISTENTE DE SEGURIDAD</t>
  </si>
  <si>
    <t>PERSONAL DE VIGILANCIA</t>
  </si>
  <si>
    <t>MANUEL VIZCAINO VIZCAINO</t>
  </si>
  <si>
    <t>MIEMBRO DE SEGURIDAD</t>
  </si>
  <si>
    <t>YAIRENIS PAREDES CASTILLO</t>
  </si>
  <si>
    <t>RICHAL IVAN LUIS FELIZ</t>
  </si>
  <si>
    <t>OFICIAL VIGILANCIA RECEPCION</t>
  </si>
  <si>
    <t>WANYI SANCHEZ NUÑEZ</t>
  </si>
  <si>
    <t>SEGURIDAD</t>
  </si>
  <si>
    <t>0.00</t>
  </si>
  <si>
    <t>INSTITUTO NACIONAL DE ADMINISTRACIÓN PÚBLICA 
(INAP)
NÓMINA DE PERSONAL CONTRATADO CON CARÁCTER TEMPORAL, CORRESPONDIENTES AL MES DE AGOSTO 2026</t>
  </si>
  <si>
    <t>Cuenta: 2.1.1.2.0.8</t>
  </si>
  <si>
    <t>DEPARTAMENTO DE COMUNICACIONES</t>
  </si>
  <si>
    <t>Nombramiento Temporal</t>
  </si>
  <si>
    <t>ARMANDO JOSE RABASSA ROSARIO</t>
  </si>
  <si>
    <t>DISEÑADOR GRAFICO</t>
  </si>
  <si>
    <t>SERVIDOR PÚBLICO CONTRATADO</t>
  </si>
  <si>
    <t>01/10/2025 -30/04/2026</t>
  </si>
  <si>
    <t>MELISSA DE LA ROSA RODRÍGUEZ</t>
  </si>
  <si>
    <t>ENC. DEL DEPARTAMENTO DE COMUNCIACIONES</t>
  </si>
  <si>
    <t xml:space="preserve">                           </t>
  </si>
  <si>
    <t>DEPARTAMENTO DE RECURSOS HUMANOS</t>
  </si>
  <si>
    <t>GLENNYS ARLENE DIAZ RAMRIEZ</t>
  </si>
  <si>
    <t>DEPARTAMENTO JURIDICO</t>
  </si>
  <si>
    <t>BIEMBO ARIEL DE OLEO DE OLEO</t>
  </si>
  <si>
    <t>01/01/2026 -30/06/2026</t>
  </si>
  <si>
    <t>DAHIANA MERCEDES BARRIENTOS DEL VILLAR</t>
  </si>
  <si>
    <t>ENCARGADO DEL DPTO. JURIDICO</t>
  </si>
  <si>
    <t>01/04/2026-31/10/2026</t>
  </si>
  <si>
    <t>REYNADO COLUMNA SOLANO</t>
  </si>
  <si>
    <t>01/04/2026 -31/10/2026</t>
  </si>
  <si>
    <t>DEPARTAMENTO DE PLANIFICACION Y DESARROLLO</t>
  </si>
  <si>
    <t>JOHANNY MERCEDES CUEVAS RAMOS</t>
  </si>
  <si>
    <t xml:space="preserve">ENCARGADO DEL DEPARTAMENTO DE PLANIFICACIÓN Y DESARROLLO       </t>
  </si>
  <si>
    <t>01/12/2025 -31/05/2026</t>
  </si>
  <si>
    <t>JUANA ELENA RODRIGUEZ VASQUEZ</t>
  </si>
  <si>
    <t>ANALISTA DE PROGRAMACION ACADEMICA</t>
  </si>
  <si>
    <t>MARIA ISABEL DE JESUS CRUZ DE REYES</t>
  </si>
  <si>
    <t>ANALISTA DE EQUIDAD DE GENERO</t>
  </si>
  <si>
    <t>01/03/2026 -30/09/2026</t>
  </si>
  <si>
    <t>DIVISIÓN DE CONTABILIDAD</t>
  </si>
  <si>
    <t>YILIAM DE LA ROSA MALDONADO</t>
  </si>
  <si>
    <t xml:space="preserve">TÉCNICO DE CONTABILIDAD         </t>
  </si>
  <si>
    <t>01/11/2026 - 30/05/2026</t>
  </si>
  <si>
    <t>SECCION DE ALMACEN</t>
  </si>
  <si>
    <t>HALINSON HIPOLITO DE LA CRUZ JIMENEZ</t>
  </si>
  <si>
    <t xml:space="preserve">ENCARGADO/A SECCION DE ALMACEN         </t>
  </si>
  <si>
    <t>SECCION DE COMPRAS Y CONTRATACIONES</t>
  </si>
  <si>
    <t>EUGENIO EMILIO MORETA PEREZ</t>
  </si>
  <si>
    <t>01/01/2026 - 30/06/2026</t>
  </si>
  <si>
    <t>EMILIO ANTONIO SEGURA PEÑA</t>
  </si>
  <si>
    <t>01/06/2026 -31/12/2026</t>
  </si>
  <si>
    <t>INSTITUTO NACIONAL DE ADMINISTRACION PUBLICA</t>
  </si>
  <si>
    <t>ELVINALISA DEL CARMEN ALMONTE REODRIGUEZ</t>
  </si>
  <si>
    <t>ENCARGADO OFICINA REGIONAL NORTE</t>
  </si>
  <si>
    <t>01/02/2026 - 31/08/2026</t>
  </si>
  <si>
    <t>DIVISION ADMINISTRATIVA</t>
  </si>
  <si>
    <t>MARTIN APOLONIO SANCHEZ ARTILES</t>
  </si>
  <si>
    <t>ENCARGADO DE LA DIVISION ADMINISTRATIVA</t>
  </si>
  <si>
    <t>DEPARTAMENTO FORMACION DOCENTE</t>
  </si>
  <si>
    <t>DEANNYS MILAGROS GONZALEZ JIMENEZ</t>
  </si>
  <si>
    <t>ELSA ALEJANDRINA CARRASCO VARGAS</t>
  </si>
  <si>
    <t xml:space="preserve">ENCARGADO DEPARTAMENTO DE FORMACION DOCENTE         </t>
  </si>
  <si>
    <t>DIVISION DEFORMULACION, MONITOREO Y EVAL. DE PLANES, PROG. Y PROYECTOS</t>
  </si>
  <si>
    <t>MABEL ARLETTE FERNANDEZ MATEO</t>
  </si>
  <si>
    <t xml:space="preserve">ENCARGADO (A) FORMULACION, MONITOREO Y EVALUACION PPP         </t>
  </si>
  <si>
    <t>UE: 002</t>
  </si>
  <si>
    <t>DEPARTAMENTO DE INVESTIGACION E INNOVACION</t>
  </si>
  <si>
    <t>ANGEL PASTOR DE JESUS MORENO GARCIA</t>
  </si>
  <si>
    <t>ENCARGADO DEL CENTRO DE DOCUMENTACION</t>
  </si>
  <si>
    <t>DEPARTAMENTO TECNICO ACADEMICO</t>
  </si>
  <si>
    <t>ARLENE  IRENE BENCOSME REYES</t>
  </si>
  <si>
    <t>ANALISTA DE ACREDITACION Y CE</t>
  </si>
  <si>
    <t>PEDRO MICHEL FIGUEROA</t>
  </si>
  <si>
    <t>CARMEN DAIANA GONZALEZ MOREL</t>
  </si>
  <si>
    <t>ANALISTA DE INVESTIGACION</t>
  </si>
  <si>
    <t xml:space="preserve">  </t>
  </si>
  <si>
    <t>DEPARTAMENTO DE RECURSOS FORMATIVOS DIGITALES</t>
  </si>
  <si>
    <t>JULIO CESAR CASTRO</t>
  </si>
  <si>
    <t xml:space="preserve">TÉCNICO ADMINISTRATIVO         </t>
  </si>
  <si>
    <t>DIVISION DE EXTENSIONES</t>
  </si>
  <si>
    <t>EVELYN AMADOR CASTILLO</t>
  </si>
  <si>
    <t>COORDINADORA ACADEMICO</t>
  </si>
  <si>
    <t>JUAN DE LA ROSA BELLO CUEVAS</t>
  </si>
  <si>
    <t>FAUSTINA PÉREZ DE CASTILLO</t>
  </si>
  <si>
    <t>GISSEL MANZUETA NUÑEZ</t>
  </si>
  <si>
    <t>MABEL INMACULADA MONEGRO ALBERTO</t>
  </si>
  <si>
    <t>ANALISTA DE COORDINACION DE EVENTOS FORMATIVOS</t>
  </si>
  <si>
    <t>01/08/2026 - 01/02/2027</t>
  </si>
  <si>
    <t>DIVISIÓN DE COORDINACION DE EVENTOS FORMATIVOS</t>
  </si>
  <si>
    <t>MARIO ALBERTO CRUSSET NUÑEZ</t>
  </si>
  <si>
    <t>CLARIBEL ZABALA LA PAIX</t>
  </si>
  <si>
    <t>01/01/2026- 31/06/2026</t>
  </si>
  <si>
    <t>31</t>
  </si>
  <si>
    <t>ROGELIA RUBIO CUEVAS</t>
  </si>
  <si>
    <t>01/01/2026 - 31/06/2026</t>
  </si>
  <si>
    <t>3486.65</t>
  </si>
  <si>
    <t>DIVISION DE ADMISION E INFORMACION</t>
  </si>
  <si>
    <t>MIGUEL ESTALKIN SOTO FELIZ</t>
  </si>
  <si>
    <t>TECNICO DE ADMISION E INFORMACION</t>
  </si>
  <si>
    <t xml:space="preserve">                                          SRA. IVIS N. MONTERO MATOS</t>
  </si>
  <si>
    <t xml:space="preserve">                           CONTADORA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</si>
</sst>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Segoe UI"/>
      <family val="2"/>
    </font>
    <font>
      <sz val="12"/>
      <color indexed="8"/>
      <name val="Segoe UI "/>
    </font>
    <font>
      <b/>
      <sz val="12"/>
      <color indexed="8"/>
      <name val="Segoe UI 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2"/>
      <color rgb="FF00000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color indexed="8"/>
      <name val="Segoe UI"/>
      <family val="2"/>
    </font>
    <font>
      <sz val="12"/>
      <color theme="1"/>
      <name val="Calibri"/>
      <family val="2"/>
      <scheme val="minor"/>
    </font>
    <font>
      <b/>
      <sz val="12"/>
      <name val="Segoe UI "/>
    </font>
    <font>
      <b/>
      <sz val="12"/>
      <name val="Segoe UI"/>
      <family val="2"/>
    </font>
    <font>
      <b/>
      <sz val="11"/>
      <name val="Calibri"/>
      <family val="2"/>
      <scheme val="minor"/>
    </font>
    <font>
      <sz val="14"/>
      <color theme="1"/>
      <name val="Segoe UI"/>
      <family val="2"/>
    </font>
    <font>
      <b/>
      <sz val="18"/>
      <color rgb="FFFFFF00"/>
      <name val="Calibri"/>
      <family val="2"/>
      <scheme val="minor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20"/>
      <color theme="1"/>
      <name val="Segoe UI"/>
      <family val="2"/>
    </font>
    <font>
      <b/>
      <sz val="12"/>
      <color indexed="8"/>
      <name val="Segoe UI"/>
      <family val="2"/>
    </font>
    <font>
      <b/>
      <sz val="12"/>
      <color theme="1"/>
      <name val="Segoe UI "/>
    </font>
    <font>
      <b/>
      <sz val="20"/>
      <color theme="1"/>
      <name val="Segoe UI "/>
    </font>
    <font>
      <b/>
      <sz val="14"/>
      <color theme="1"/>
      <name val="Segoe UI "/>
    </font>
    <font>
      <sz val="12"/>
      <name val="Segoe UI "/>
    </font>
    <font>
      <b/>
      <sz val="14"/>
      <name val="Segoe UI "/>
    </font>
    <font>
      <b/>
      <sz val="20"/>
      <name val="Segoe UI "/>
    </font>
    <font>
      <sz val="12"/>
      <name val="Segoe UI"/>
      <family val="2"/>
    </font>
    <font>
      <b/>
      <sz val="20"/>
      <name val="Segoe UI"/>
      <family val="2"/>
    </font>
    <font>
      <b/>
      <sz val="14"/>
      <name val="Segoe U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8">
    <xf numFmtId="0" fontId="0" fillId="0" borderId="0" xfId="0"/>
    <xf numFmtId="43" fontId="5" fillId="0" borderId="0" xfId="1" applyFont="1" applyFill="1" applyBorder="1" applyAlignment="1">
      <alignment horizontal="center" vertical="center" wrapText="1"/>
    </xf>
    <xf numFmtId="43" fontId="0" fillId="0" borderId="0" xfId="1" applyFont="1" applyFill="1"/>
    <xf numFmtId="43" fontId="12" fillId="0" borderId="0" xfId="1" applyFont="1" applyFill="1" applyBorder="1" applyAlignment="1">
      <alignment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 wrapText="1"/>
    </xf>
    <xf numFmtId="43" fontId="14" fillId="0" borderId="0" xfId="1" applyFont="1" applyFill="1" applyBorder="1" applyAlignment="1">
      <alignment horizontal="center" vertical="center"/>
    </xf>
    <xf numFmtId="43" fontId="14" fillId="0" borderId="0" xfId="1" applyFont="1" applyFill="1" applyBorder="1" applyAlignment="1">
      <alignment horizontal="left" vertical="center" wrapText="1"/>
    </xf>
    <xf numFmtId="43" fontId="12" fillId="0" borderId="0" xfId="1" applyFont="1" applyFill="1" applyBorder="1" applyAlignment="1">
      <alignment horizontal="right" vertical="center" wrapText="1"/>
    </xf>
    <xf numFmtId="43" fontId="14" fillId="0" borderId="0" xfId="1" applyFont="1" applyFill="1" applyBorder="1" applyAlignment="1">
      <alignment horizontal="right" vertical="center" wrapText="1"/>
    </xf>
    <xf numFmtId="43" fontId="14" fillId="0" borderId="9" xfId="1" applyFont="1" applyFill="1" applyBorder="1" applyAlignment="1">
      <alignment vertical="center" wrapText="1"/>
    </xf>
    <xf numFmtId="43" fontId="14" fillId="0" borderId="9" xfId="1" applyFont="1" applyFill="1" applyBorder="1" applyAlignment="1">
      <alignment horizontal="right" vertical="center" wrapText="1"/>
    </xf>
    <xf numFmtId="43" fontId="23" fillId="0" borderId="0" xfId="1" applyFont="1" applyFill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" fontId="1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44" fontId="9" fillId="0" borderId="6" xfId="0" applyNumberFormat="1" applyFont="1" applyBorder="1" applyAlignment="1">
      <alignment horizontal="center" vertical="center"/>
    </xf>
    <xf numFmtId="44" fontId="9" fillId="0" borderId="6" xfId="0" applyNumberFormat="1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" fontId="12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43" fontId="23" fillId="0" borderId="0" xfId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4" fontId="24" fillId="0" borderId="6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43" fontId="12" fillId="0" borderId="0" xfId="1" applyFont="1" applyFill="1" applyBorder="1" applyAlignment="1">
      <alignment horizontal="center" vertical="center" wrapText="1"/>
    </xf>
    <xf numFmtId="43" fontId="18" fillId="0" borderId="0" xfId="1" applyFont="1" applyFill="1" applyBorder="1" applyAlignment="1">
      <alignment horizontal="right" vertical="center" wrapText="1"/>
    </xf>
    <xf numFmtId="43" fontId="18" fillId="0" borderId="0" xfId="1" applyFont="1" applyFill="1" applyBorder="1" applyAlignment="1">
      <alignment horizontal="right" vertical="center"/>
    </xf>
    <xf numFmtId="43" fontId="12" fillId="0" borderId="0" xfId="1" applyFont="1" applyFill="1" applyAlignment="1">
      <alignment vertical="center"/>
    </xf>
    <xf numFmtId="0" fontId="26" fillId="0" borderId="0" xfId="0" applyFont="1"/>
    <xf numFmtId="0" fontId="12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3" fontId="14" fillId="0" borderId="0" xfId="1" applyFont="1" applyFill="1" applyBorder="1" applyAlignment="1">
      <alignment horizontal="right" vertical="center"/>
    </xf>
    <xf numFmtId="43" fontId="14" fillId="0" borderId="0" xfId="1" applyFont="1" applyFill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4" fontId="13" fillId="0" borderId="0" xfId="0" applyNumberFormat="1" applyFont="1" applyAlignment="1">
      <alignment vertical="center"/>
    </xf>
    <xf numFmtId="43" fontId="13" fillId="0" borderId="0" xfId="1" applyFont="1" applyFill="1" applyBorder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43" fontId="11" fillId="0" borderId="0" xfId="1" applyFont="1" applyFill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3" fontId="25" fillId="0" borderId="0" xfId="1" applyFont="1" applyFill="1" applyBorder="1" applyAlignment="1">
      <alignment horizontal="right" vertical="center" wrapText="1"/>
    </xf>
    <xf numFmtId="43" fontId="25" fillId="0" borderId="10" xfId="1" applyFont="1" applyFill="1" applyBorder="1" applyAlignment="1">
      <alignment horizontal="right" vertical="center" wrapText="1"/>
    </xf>
    <xf numFmtId="43" fontId="11" fillId="0" borderId="0" xfId="1" applyFont="1" applyFill="1" applyBorder="1" applyAlignment="1">
      <alignment horizontal="right" vertical="center" wrapText="1"/>
    </xf>
    <xf numFmtId="43" fontId="12" fillId="0" borderId="0" xfId="1" applyFont="1" applyFill="1" applyBorder="1" applyAlignment="1">
      <alignment horizontal="left" vertical="center" wrapText="1"/>
    </xf>
    <xf numFmtId="4" fontId="11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4" fontId="0" fillId="0" borderId="0" xfId="0" applyNumberFormat="1"/>
    <xf numFmtId="49" fontId="12" fillId="0" borderId="0" xfId="1" applyNumberFormat="1" applyFont="1" applyFill="1" applyAlignment="1">
      <alignment horizontal="right" vertical="center"/>
    </xf>
    <xf numFmtId="43" fontId="11" fillId="0" borderId="0" xfId="1" applyFont="1" applyFill="1" applyAlignment="1">
      <alignment horizontal="right" vertical="center"/>
    </xf>
    <xf numFmtId="2" fontId="12" fillId="0" borderId="0" xfId="1" applyNumberFormat="1" applyFont="1" applyFill="1" applyBorder="1" applyAlignment="1">
      <alignment vertical="center" wrapText="1"/>
    </xf>
    <xf numFmtId="4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43" fontId="14" fillId="0" borderId="6" xfId="1" applyFont="1" applyFill="1" applyBorder="1" applyAlignment="1">
      <alignment horizontal="center" vertical="center" wrapText="1"/>
    </xf>
    <xf numFmtId="2" fontId="14" fillId="0" borderId="6" xfId="1" applyNumberFormat="1" applyFont="1" applyFill="1" applyBorder="1" applyAlignment="1">
      <alignment horizontal="center" vertical="center" wrapText="1"/>
    </xf>
    <xf numFmtId="4" fontId="32" fillId="0" borderId="6" xfId="0" applyNumberFormat="1" applyFont="1" applyBorder="1" applyAlignment="1">
      <alignment horizontal="left"/>
    </xf>
    <xf numFmtId="0" fontId="24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23" fillId="0" borderId="0" xfId="0" applyNumberFormat="1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4" fontId="31" fillId="0" borderId="0" xfId="0" applyNumberFormat="1" applyFont="1"/>
    <xf numFmtId="0" fontId="11" fillId="0" borderId="0" xfId="0" applyFont="1"/>
    <xf numFmtId="43" fontId="14" fillId="0" borderId="9" xfId="1" applyFont="1" applyFill="1" applyBorder="1" applyAlignment="1">
      <alignment horizontal="right" vertical="center"/>
    </xf>
    <xf numFmtId="4" fontId="18" fillId="0" borderId="9" xfId="0" applyNumberFormat="1" applyFont="1" applyBorder="1" applyAlignment="1">
      <alignment horizontal="right" vertical="center"/>
    </xf>
    <xf numFmtId="43" fontId="14" fillId="0" borderId="11" xfId="1" applyFont="1" applyFill="1" applyBorder="1" applyAlignment="1">
      <alignment horizontal="right" vertical="center"/>
    </xf>
    <xf numFmtId="43" fontId="14" fillId="0" borderId="11" xfId="1" applyFont="1" applyFill="1" applyBorder="1" applyAlignment="1">
      <alignment vertical="center" wrapText="1"/>
    </xf>
    <xf numFmtId="4" fontId="18" fillId="0" borderId="11" xfId="0" applyNumberFormat="1" applyFont="1" applyBorder="1" applyAlignment="1">
      <alignment horizontal="right" vertical="center"/>
    </xf>
    <xf numFmtId="43" fontId="14" fillId="0" borderId="11" xfId="1" applyFont="1" applyFill="1" applyBorder="1" applyAlignment="1">
      <alignment horizontal="right" vertical="center" wrapText="1"/>
    </xf>
    <xf numFmtId="43" fontId="13" fillId="0" borderId="0" xfId="1" applyFont="1" applyFill="1" applyBorder="1" applyAlignment="1">
      <alignment horizontal="right" vertical="center" wrapText="1"/>
    </xf>
    <xf numFmtId="2" fontId="13" fillId="0" borderId="0" xfId="1" applyNumberFormat="1" applyFont="1" applyFill="1" applyBorder="1" applyAlignment="1">
      <alignment vertical="center" wrapText="1"/>
    </xf>
    <xf numFmtId="43" fontId="13" fillId="0" borderId="0" xfId="1" applyFont="1" applyFill="1" applyBorder="1" applyAlignment="1">
      <alignment horizontal="center" vertical="center" wrapText="1"/>
    </xf>
    <xf numFmtId="4" fontId="23" fillId="0" borderId="0" xfId="0" applyNumberFormat="1" applyFont="1" applyAlignment="1">
      <alignment vertical="center"/>
    </xf>
    <xf numFmtId="43" fontId="23" fillId="0" borderId="0" xfId="1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43" fontId="23" fillId="0" borderId="0" xfId="1" applyFont="1" applyFill="1" applyBorder="1" applyAlignment="1">
      <alignment horizontal="left" vertical="center" wrapText="1"/>
    </xf>
    <xf numFmtId="43" fontId="23" fillId="0" borderId="0" xfId="1" applyFont="1" applyFill="1" applyBorder="1" applyAlignment="1">
      <alignment horizontal="center" vertical="center"/>
    </xf>
    <xf numFmtId="43" fontId="13" fillId="0" borderId="0" xfId="1" applyFont="1" applyFill="1" applyAlignment="1">
      <alignment horizontal="right" vertical="center"/>
    </xf>
    <xf numFmtId="43" fontId="23" fillId="0" borderId="0" xfId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4" fontId="10" fillId="2" borderId="0" xfId="0" applyNumberFormat="1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7" fillId="2" borderId="20" xfId="0" applyFont="1" applyFill="1" applyBorder="1" applyAlignment="1">
      <alignment horizontal="center" vertical="center"/>
    </xf>
    <xf numFmtId="0" fontId="37" fillId="2" borderId="21" xfId="0" applyFont="1" applyFill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center"/>
    </xf>
    <xf numFmtId="0" fontId="37" fillId="2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2" fontId="25" fillId="0" borderId="0" xfId="1" applyNumberFormat="1" applyFont="1" applyFill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43" fontId="38" fillId="0" borderId="25" xfId="1" applyFont="1" applyFill="1" applyBorder="1" applyAlignment="1">
      <alignment horizontal="right" vertical="center" wrapText="1"/>
    </xf>
    <xf numFmtId="43" fontId="38" fillId="0" borderId="25" xfId="1" applyFont="1" applyFill="1" applyBorder="1" applyAlignment="1">
      <alignment vertical="center" wrapText="1"/>
    </xf>
    <xf numFmtId="43" fontId="38" fillId="0" borderId="26" xfId="1" applyFont="1" applyFill="1" applyBorder="1" applyAlignment="1">
      <alignment horizontal="right" vertical="center" wrapText="1"/>
    </xf>
    <xf numFmtId="0" fontId="38" fillId="0" borderId="0" xfId="0" applyFont="1" applyAlignment="1">
      <alignment horizontal="center" vertical="center" wrapText="1"/>
    </xf>
    <xf numFmtId="0" fontId="25" fillId="0" borderId="0" xfId="0" applyFont="1" applyAlignment="1">
      <alignment wrapText="1"/>
    </xf>
    <xf numFmtId="43" fontId="38" fillId="0" borderId="27" xfId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43" fontId="38" fillId="0" borderId="0" xfId="1" applyFont="1" applyFill="1" applyBorder="1" applyAlignment="1">
      <alignment horizontal="right" vertical="center" wrapText="1"/>
    </xf>
    <xf numFmtId="2" fontId="38" fillId="0" borderId="0" xfId="1" applyNumberFormat="1" applyFont="1" applyFill="1" applyBorder="1" applyAlignment="1">
      <alignment horizontal="right" vertical="center" wrapText="1"/>
    </xf>
    <xf numFmtId="43" fontId="38" fillId="0" borderId="0" xfId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2" fontId="38" fillId="0" borderId="25" xfId="1" applyNumberFormat="1" applyFont="1" applyFill="1" applyBorder="1" applyAlignment="1">
      <alignment horizontal="right" vertical="center" wrapText="1"/>
    </xf>
    <xf numFmtId="49" fontId="38" fillId="0" borderId="25" xfId="1" applyNumberFormat="1" applyFont="1" applyFill="1" applyBorder="1" applyAlignment="1">
      <alignment horizontal="right" vertical="center" wrapText="1"/>
    </xf>
    <xf numFmtId="0" fontId="38" fillId="0" borderId="28" xfId="0" applyFont="1" applyBorder="1" applyAlignment="1">
      <alignment horizontal="center" vertical="center" wrapText="1"/>
    </xf>
    <xf numFmtId="0" fontId="25" fillId="0" borderId="9" xfId="0" applyFont="1" applyBorder="1" applyAlignment="1">
      <alignment wrapText="1"/>
    </xf>
    <xf numFmtId="0" fontId="25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43" fontId="42" fillId="0" borderId="0" xfId="1" applyFont="1" applyFill="1" applyBorder="1" applyAlignment="1">
      <alignment horizontal="right" vertical="center" wrapText="1"/>
    </xf>
    <xf numFmtId="49" fontId="42" fillId="0" borderId="0" xfId="1" applyNumberFormat="1" applyFont="1" applyFill="1" applyBorder="1" applyAlignment="1">
      <alignment horizontal="right" vertical="center" wrapText="1"/>
    </xf>
    <xf numFmtId="4" fontId="42" fillId="0" borderId="0" xfId="0" applyNumberFormat="1" applyFont="1" applyAlignment="1">
      <alignment horizontal="right" vertical="center"/>
    </xf>
    <xf numFmtId="43" fontId="42" fillId="0" borderId="10" xfId="1" applyFont="1" applyFill="1" applyBorder="1" applyAlignment="1">
      <alignment horizontal="right" vertical="center" wrapText="1"/>
    </xf>
    <xf numFmtId="0" fontId="42" fillId="0" borderId="0" xfId="0" applyFont="1" applyAlignment="1">
      <alignment horizontal="left" vertical="center" wrapText="1"/>
    </xf>
    <xf numFmtId="4" fontId="42" fillId="0" borderId="9" xfId="0" applyNumberFormat="1" applyFont="1" applyBorder="1" applyAlignment="1">
      <alignment horizontal="right" vertical="center"/>
    </xf>
    <xf numFmtId="4" fontId="42" fillId="0" borderId="29" xfId="0" applyNumberFormat="1" applyFont="1" applyBorder="1" applyAlignment="1">
      <alignment horizontal="right" vertical="center"/>
    </xf>
    <xf numFmtId="43" fontId="27" fillId="0" borderId="0" xfId="1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43" fontId="27" fillId="0" borderId="0" xfId="1" applyFont="1" applyFill="1" applyBorder="1" applyAlignment="1">
      <alignment horizontal="right" vertical="center" wrapText="1"/>
    </xf>
    <xf numFmtId="4" fontId="27" fillId="0" borderId="0" xfId="0" applyNumberFormat="1" applyFont="1" applyAlignment="1">
      <alignment horizontal="right" vertical="center"/>
    </xf>
    <xf numFmtId="0" fontId="40" fillId="4" borderId="30" xfId="0" applyFont="1" applyFill="1" applyBorder="1" applyAlignment="1">
      <alignment horizontal="center" vertical="center"/>
    </xf>
    <xf numFmtId="0" fontId="40" fillId="4" borderId="17" xfId="0" applyFont="1" applyFill="1" applyBorder="1" applyAlignment="1">
      <alignment horizontal="center" vertical="center"/>
    </xf>
    <xf numFmtId="0" fontId="40" fillId="4" borderId="31" xfId="0" applyFont="1" applyFill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43" fontId="42" fillId="0" borderId="9" xfId="1" applyFont="1" applyFill="1" applyBorder="1" applyAlignment="1">
      <alignment horizontal="right" vertical="center" wrapText="1"/>
    </xf>
    <xf numFmtId="49" fontId="42" fillId="0" borderId="9" xfId="1" applyNumberFormat="1" applyFont="1" applyFill="1" applyBorder="1" applyAlignment="1">
      <alignment horizontal="right" vertical="center" wrapText="1"/>
    </xf>
    <xf numFmtId="43" fontId="27" fillId="0" borderId="0" xfId="1" applyFont="1" applyFill="1" applyAlignment="1">
      <alignment horizontal="center" vertical="center" wrapText="1"/>
    </xf>
    <xf numFmtId="43" fontId="27" fillId="0" borderId="0" xfId="1" applyFont="1" applyFill="1" applyAlignment="1">
      <alignment horizontal="right" vertical="center" wrapText="1"/>
    </xf>
    <xf numFmtId="49" fontId="27" fillId="0" borderId="0" xfId="1" applyNumberFormat="1" applyFont="1" applyFill="1" applyAlignment="1">
      <alignment horizontal="right" vertical="center" wrapText="1"/>
    </xf>
    <xf numFmtId="0" fontId="43" fillId="0" borderId="24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4" fontId="42" fillId="0" borderId="3" xfId="0" applyNumberFormat="1" applyFont="1" applyBorder="1" applyAlignment="1">
      <alignment horizontal="right" vertical="center"/>
    </xf>
    <xf numFmtId="0" fontId="44" fillId="4" borderId="33" xfId="0" applyFont="1" applyFill="1" applyBorder="1" applyAlignment="1">
      <alignment horizontal="center" vertical="center"/>
    </xf>
    <xf numFmtId="0" fontId="44" fillId="4" borderId="21" xfId="0" applyFont="1" applyFill="1" applyBorder="1" applyAlignment="1">
      <alignment horizontal="center" vertical="center"/>
    </xf>
    <xf numFmtId="0" fontId="44" fillId="4" borderId="34" xfId="0" applyFont="1" applyFill="1" applyBorder="1" applyAlignment="1">
      <alignment horizontal="center" vertical="center"/>
    </xf>
    <xf numFmtId="43" fontId="0" fillId="0" borderId="35" xfId="1" applyFont="1" applyFill="1" applyBorder="1"/>
    <xf numFmtId="0" fontId="44" fillId="4" borderId="1" xfId="0" applyFont="1" applyFill="1" applyBorder="1" applyAlignment="1">
      <alignment horizontal="center" vertical="center"/>
    </xf>
    <xf numFmtId="0" fontId="44" fillId="4" borderId="3" xfId="0" applyFont="1" applyFill="1" applyBorder="1" applyAlignment="1">
      <alignment horizontal="center" vertical="center"/>
    </xf>
    <xf numFmtId="0" fontId="44" fillId="4" borderId="4" xfId="0" applyFont="1" applyFill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 vertical="center" wrapText="1"/>
    </xf>
    <xf numFmtId="4" fontId="42" fillId="0" borderId="35" xfId="0" applyNumberFormat="1" applyFont="1" applyBorder="1" applyAlignment="1">
      <alignment horizontal="right" vertical="center"/>
    </xf>
    <xf numFmtId="43" fontId="27" fillId="0" borderId="0" xfId="1" applyFont="1" applyFill="1" applyAlignment="1">
      <alignment horizontal="left" vertical="center"/>
    </xf>
    <xf numFmtId="43" fontId="27" fillId="0" borderId="0" xfId="1" applyFont="1" applyFill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43" fillId="0" borderId="23" xfId="0" applyFont="1" applyBorder="1" applyAlignment="1">
      <alignment horizontal="center" vertical="center"/>
    </xf>
    <xf numFmtId="4" fontId="45" fillId="0" borderId="0" xfId="0" applyNumberFormat="1" applyFont="1" applyAlignment="1">
      <alignment horizontal="right" vertical="center"/>
    </xf>
    <xf numFmtId="49" fontId="45" fillId="0" borderId="0" xfId="0" applyNumberFormat="1" applyFont="1" applyAlignment="1">
      <alignment horizontal="right" vertical="center"/>
    </xf>
    <xf numFmtId="4" fontId="45" fillId="0" borderId="9" xfId="0" applyNumberFormat="1" applyFont="1" applyBorder="1" applyAlignment="1">
      <alignment horizontal="right" vertical="center"/>
    </xf>
    <xf numFmtId="43" fontId="45" fillId="0" borderId="9" xfId="1" applyFont="1" applyFill="1" applyBorder="1" applyAlignment="1">
      <alignment horizontal="right" vertical="center"/>
    </xf>
    <xf numFmtId="4" fontId="28" fillId="0" borderId="0" xfId="0" applyNumberFormat="1" applyFont="1" applyAlignment="1">
      <alignment horizontal="right" vertical="center"/>
    </xf>
    <xf numFmtId="14" fontId="45" fillId="0" borderId="0" xfId="0" applyNumberFormat="1" applyFont="1" applyAlignment="1">
      <alignment horizontal="center"/>
    </xf>
    <xf numFmtId="0" fontId="46" fillId="4" borderId="33" xfId="0" applyFont="1" applyFill="1" applyBorder="1" applyAlignment="1">
      <alignment horizontal="center" vertical="center"/>
    </xf>
    <xf numFmtId="0" fontId="46" fillId="4" borderId="21" xfId="0" applyFont="1" applyFill="1" applyBorder="1" applyAlignment="1">
      <alignment horizontal="center" vertical="center"/>
    </xf>
    <xf numFmtId="0" fontId="46" fillId="4" borderId="3" xfId="0" applyFont="1" applyFill="1" applyBorder="1" applyAlignment="1">
      <alignment horizontal="center" vertical="center"/>
    </xf>
    <xf numFmtId="0" fontId="46" fillId="4" borderId="4" xfId="0" applyFont="1" applyFill="1" applyBorder="1" applyAlignment="1">
      <alignment horizontal="center" vertical="center"/>
    </xf>
    <xf numFmtId="0" fontId="43" fillId="0" borderId="36" xfId="0" applyFont="1" applyBorder="1" applyAlignment="1">
      <alignment horizontal="center" vertical="center"/>
    </xf>
    <xf numFmtId="0" fontId="47" fillId="0" borderId="24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23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47" fillId="0" borderId="21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0" fontId="46" fillId="4" borderId="34" xfId="0" applyFont="1" applyFill="1" applyBorder="1" applyAlignment="1">
      <alignment horizontal="center" vertical="center"/>
    </xf>
    <xf numFmtId="43" fontId="27" fillId="0" borderId="17" xfId="1" applyFont="1" applyFill="1" applyBorder="1" applyAlignment="1">
      <alignment horizontal="right" vertical="center" wrapText="1"/>
    </xf>
    <xf numFmtId="0" fontId="45" fillId="0" borderId="0" xfId="0" applyFont="1" applyAlignment="1">
      <alignment horizontal="left" vertical="center"/>
    </xf>
    <xf numFmtId="43" fontId="45" fillId="0" borderId="0" xfId="1" applyFont="1" applyFill="1" applyBorder="1" applyAlignment="1">
      <alignment horizontal="right" vertical="center" wrapText="1"/>
    </xf>
    <xf numFmtId="43" fontId="45" fillId="0" borderId="0" xfId="1" applyFont="1" applyFill="1" applyBorder="1" applyAlignment="1">
      <alignment horizontal="right" vertical="center"/>
    </xf>
    <xf numFmtId="0" fontId="43" fillId="0" borderId="6" xfId="0" applyFont="1" applyBorder="1" applyAlignment="1">
      <alignment horizontal="center" vertical="center"/>
    </xf>
    <xf numFmtId="49" fontId="42" fillId="0" borderId="0" xfId="0" applyNumberFormat="1" applyFont="1" applyAlignment="1">
      <alignment horizontal="right" vertical="center"/>
    </xf>
    <xf numFmtId="49" fontId="42" fillId="0" borderId="0" xfId="1" applyNumberFormat="1" applyFont="1" applyFill="1" applyAlignment="1">
      <alignment horizontal="center" vertical="center" wrapText="1"/>
    </xf>
    <xf numFmtId="43" fontId="42" fillId="0" borderId="0" xfId="1" applyFont="1" applyFill="1" applyAlignment="1">
      <alignment horizontal="left" vertical="center"/>
    </xf>
    <xf numFmtId="43" fontId="42" fillId="0" borderId="0" xfId="1" applyFont="1" applyFill="1" applyAlignment="1">
      <alignment horizontal="center" vertical="center"/>
    </xf>
    <xf numFmtId="13" fontId="42" fillId="0" borderId="0" xfId="1" applyNumberFormat="1" applyFont="1" applyFill="1" applyAlignment="1">
      <alignment horizontal="center" vertical="center"/>
    </xf>
    <xf numFmtId="0" fontId="48" fillId="0" borderId="0" xfId="0" applyFont="1"/>
    <xf numFmtId="0" fontId="48" fillId="0" borderId="0" xfId="0" applyFont="1" applyAlignment="1">
      <alignment horizontal="center"/>
    </xf>
    <xf numFmtId="4" fontId="27" fillId="0" borderId="37" xfId="0" applyNumberFormat="1" applyFont="1" applyBorder="1" applyAlignment="1">
      <alignment horizontal="right" vertical="center"/>
    </xf>
    <xf numFmtId="4" fontId="27" fillId="0" borderId="17" xfId="0" applyNumberFormat="1" applyFont="1" applyBorder="1" applyAlignment="1">
      <alignment horizontal="right" vertical="center"/>
    </xf>
    <xf numFmtId="4" fontId="27" fillId="0" borderId="38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0" fontId="36" fillId="0" borderId="0" xfId="0" applyFont="1"/>
    <xf numFmtId="4" fontId="28" fillId="0" borderId="0" xfId="0" applyNumberFormat="1" applyFont="1" applyAlignment="1">
      <alignment horizontal="center" vertical="center"/>
    </xf>
    <xf numFmtId="43" fontId="28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2033681</xdr:colOff>
      <xdr:row>237</xdr:row>
      <xdr:rowOff>1</xdr:rowOff>
    </xdr:from>
    <xdr:to>
      <xdr:col>6</xdr:col>
      <xdr:colOff>369868</xdr:colOff>
      <xdr:row>237</xdr:row>
      <xdr:rowOff>186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89ECE8-B850-4C0D-8D8F-18F90059B228}"/>
            </a:ext>
          </a:extLst>
        </xdr:cNvPr>
        <xdr:cNvCxnSpPr/>
      </xdr:nvCxnSpPr>
      <xdr:spPr>
        <a:xfrm flipV="1">
          <a:off x="9980252" y="26234572"/>
          <a:ext cx="3207545" cy="1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1428750</xdr:colOff>
      <xdr:row>237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FC1948F6-4615-47B6-8895-8639DA9FABA9}"/>
            </a:ext>
          </a:extLst>
        </xdr:cNvPr>
        <xdr:cNvCxnSpPr/>
      </xdr:nvCxnSpPr>
      <xdr:spPr>
        <a:xfrm>
          <a:off x="0" y="27132643"/>
          <a:ext cx="284389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0</xdr:colOff>
      <xdr:row>128</xdr:row>
      <xdr:rowOff>0</xdr:rowOff>
    </xdr:from>
    <xdr:to>
      <xdr:col>14</xdr:col>
      <xdr:colOff>304800</xdr:colOff>
      <xdr:row>128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D9216E4-45D5-7EED-1252-9432846AF6E6}"/>
            </a:ext>
          </a:extLst>
        </xdr:cNvPr>
        <xdr:cNvSpPr>
          <a:spLocks noChangeAspect="1" noChangeArrowheads="1"/>
        </xdr:cNvSpPr>
      </xdr:nvSpPr>
      <xdr:spPr bwMode="auto">
        <a:xfrm>
          <a:off x="22583775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163287</xdr:colOff>
      <xdr:row>0</xdr:row>
      <xdr:rowOff>13607</xdr:rowOff>
    </xdr:from>
    <xdr:to>
      <xdr:col>1</xdr:col>
      <xdr:colOff>534427</xdr:colOff>
      <xdr:row>4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39691B-77E9-33DF-6344-AAC4479A3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87" y="13607"/>
          <a:ext cx="1786283" cy="1156607"/>
        </a:xfrm>
        <a:prstGeom prst="rect">
          <a:avLst/>
        </a:prstGeom>
      </xdr:spPr>
    </xdr:pic>
    <xdr:clientData/>
  </xdr:twoCellAnchor>
  <xdr:twoCellAnchor>
    <xdr:from>
      <xdr:col>9</xdr:col>
      <xdr:colOff>1102179</xdr:colOff>
      <xdr:row>237</xdr:row>
      <xdr:rowOff>0</xdr:rowOff>
    </xdr:from>
    <xdr:to>
      <xdr:col>12</xdr:col>
      <xdr:colOff>105117</xdr:colOff>
      <xdr:row>237</xdr:row>
      <xdr:rowOff>185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35CEBF81-1694-44D8-BA73-27F56529E712}"/>
            </a:ext>
          </a:extLst>
        </xdr:cNvPr>
        <xdr:cNvCxnSpPr/>
      </xdr:nvCxnSpPr>
      <xdr:spPr>
        <a:xfrm flipV="1">
          <a:off x="18247179" y="26234571"/>
          <a:ext cx="3207545" cy="1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</xdr:row>
      <xdr:rowOff>0</xdr:rowOff>
    </xdr:from>
    <xdr:to>
      <xdr:col>1</xdr:col>
      <xdr:colOff>2136321</xdr:colOff>
      <xdr:row>208</xdr:row>
      <xdr:rowOff>13607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C9457074-322D-44ED-82B2-E2AF33252BA8}"/>
            </a:ext>
          </a:extLst>
        </xdr:cNvPr>
        <xdr:cNvCxnSpPr/>
      </xdr:nvCxnSpPr>
      <xdr:spPr>
        <a:xfrm>
          <a:off x="0" y="76304775"/>
          <a:ext cx="3412671" cy="13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653142</xdr:colOff>
      <xdr:row>208</xdr:row>
      <xdr:rowOff>0</xdr:rowOff>
    </xdr:from>
    <xdr:to>
      <xdr:col>11</xdr:col>
      <xdr:colOff>1055915</xdr:colOff>
      <xdr:row>208</xdr:row>
      <xdr:rowOff>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8775541-9619-40F3-826A-501B4C69DE8A}"/>
            </a:ext>
          </a:extLst>
        </xdr:cNvPr>
        <xdr:cNvCxnSpPr/>
      </xdr:nvCxnSpPr>
      <xdr:spPr>
        <a:xfrm>
          <a:off x="17445717" y="76304775"/>
          <a:ext cx="304119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540203</xdr:colOff>
      <xdr:row>208</xdr:row>
      <xdr:rowOff>0</xdr:rowOff>
    </xdr:from>
    <xdr:to>
      <xdr:col>5</xdr:col>
      <xdr:colOff>394607</xdr:colOff>
      <xdr:row>208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95DB900F-FC5C-4442-830A-CBA826F117B0}"/>
            </a:ext>
          </a:extLst>
        </xdr:cNvPr>
        <xdr:cNvCxnSpPr/>
      </xdr:nvCxnSpPr>
      <xdr:spPr>
        <a:xfrm>
          <a:off x="7417253" y="76304775"/>
          <a:ext cx="348342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1728107</xdr:colOff>
      <xdr:row>23</xdr:row>
      <xdr:rowOff>1</xdr:rowOff>
    </xdr:from>
    <xdr:to>
      <xdr:col>6</xdr:col>
      <xdr:colOff>369868</xdr:colOff>
      <xdr:row>23</xdr:row>
      <xdr:rowOff>13608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8F4A161A-E6EF-4EA4-B36F-60B01DBD057B}"/>
            </a:ext>
          </a:extLst>
        </xdr:cNvPr>
        <xdr:cNvCxnSpPr/>
      </xdr:nvCxnSpPr>
      <xdr:spPr>
        <a:xfrm flipV="1">
          <a:off x="8824232" y="9591676"/>
          <a:ext cx="2413661" cy="13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40821</xdr:colOff>
      <xdr:row>23</xdr:row>
      <xdr:rowOff>0</xdr:rowOff>
    </xdr:from>
    <xdr:to>
      <xdr:col>1</xdr:col>
      <xdr:colOff>1932214</xdr:colOff>
      <xdr:row>23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98FF7C1-E3AB-492F-A611-FA0174D8A8D7}"/>
            </a:ext>
          </a:extLst>
        </xdr:cNvPr>
        <xdr:cNvCxnSpPr/>
      </xdr:nvCxnSpPr>
      <xdr:spPr>
        <a:xfrm>
          <a:off x="40821" y="9591675"/>
          <a:ext cx="31391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1102179</xdr:colOff>
      <xdr:row>23</xdr:row>
      <xdr:rowOff>0</xdr:rowOff>
    </xdr:from>
    <xdr:to>
      <xdr:col>12</xdr:col>
      <xdr:colOff>105117</xdr:colOff>
      <xdr:row>23</xdr:row>
      <xdr:rowOff>185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9971BC2-0C2C-4B0E-AE28-FA5167460BF7}"/>
            </a:ext>
          </a:extLst>
        </xdr:cNvPr>
        <xdr:cNvCxnSpPr/>
      </xdr:nvCxnSpPr>
      <xdr:spPr>
        <a:xfrm flipV="1">
          <a:off x="16237404" y="9591675"/>
          <a:ext cx="2746263" cy="1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489857</xdr:colOff>
      <xdr:row>3</xdr:row>
      <xdr:rowOff>1</xdr:rowOff>
    </xdr:from>
    <xdr:to>
      <xdr:col>1</xdr:col>
      <xdr:colOff>819150</xdr:colOff>
      <xdr:row>8</xdr:row>
      <xdr:rowOff>8983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FB622E-B5D6-43CA-BE52-7A67E7D5D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7" y="571501"/>
          <a:ext cx="1091293" cy="9614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1728107</xdr:colOff>
      <xdr:row>24</xdr:row>
      <xdr:rowOff>1</xdr:rowOff>
    </xdr:from>
    <xdr:to>
      <xdr:col>6</xdr:col>
      <xdr:colOff>369868</xdr:colOff>
      <xdr:row>24</xdr:row>
      <xdr:rowOff>13608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AF3465E-FA0C-4E49-A11B-85FD4F3C7C1D}"/>
            </a:ext>
          </a:extLst>
        </xdr:cNvPr>
        <xdr:cNvCxnSpPr/>
      </xdr:nvCxnSpPr>
      <xdr:spPr>
        <a:xfrm flipV="1">
          <a:off x="8824232" y="8343901"/>
          <a:ext cx="2413661" cy="136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40821</xdr:colOff>
      <xdr:row>24</xdr:row>
      <xdr:rowOff>0</xdr:rowOff>
    </xdr:from>
    <xdr:to>
      <xdr:col>1</xdr:col>
      <xdr:colOff>1932214</xdr:colOff>
      <xdr:row>24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671B354-A2FC-4768-8FC7-227031CD048B}"/>
            </a:ext>
          </a:extLst>
        </xdr:cNvPr>
        <xdr:cNvCxnSpPr/>
      </xdr:nvCxnSpPr>
      <xdr:spPr>
        <a:xfrm>
          <a:off x="40821" y="8343900"/>
          <a:ext cx="31391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1102179</xdr:colOff>
      <xdr:row>24</xdr:row>
      <xdr:rowOff>0</xdr:rowOff>
    </xdr:from>
    <xdr:to>
      <xdr:col>12</xdr:col>
      <xdr:colOff>105117</xdr:colOff>
      <xdr:row>24</xdr:row>
      <xdr:rowOff>185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186155B6-973D-4A3B-B647-D72AD3BC97A8}"/>
            </a:ext>
          </a:extLst>
        </xdr:cNvPr>
        <xdr:cNvCxnSpPr/>
      </xdr:nvCxnSpPr>
      <xdr:spPr>
        <a:xfrm flipV="1">
          <a:off x="16237404" y="8343900"/>
          <a:ext cx="2746263" cy="1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136071</xdr:colOff>
      <xdr:row>3</xdr:row>
      <xdr:rowOff>81643</xdr:rowOff>
    </xdr:from>
    <xdr:to>
      <xdr:col>1</xdr:col>
      <xdr:colOff>476250</xdr:colOff>
      <xdr:row>8</xdr:row>
      <xdr:rowOff>100216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869299-C013-49B6-B5B2-9F9E764C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71" y="653143"/>
          <a:ext cx="1102179" cy="9710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2033681</xdr:colOff>
      <xdr:row>121</xdr:row>
      <xdr:rowOff>1</xdr:rowOff>
    </xdr:from>
    <xdr:to>
      <xdr:col>7</xdr:col>
      <xdr:colOff>369868</xdr:colOff>
      <xdr:row>121</xdr:row>
      <xdr:rowOff>186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C4D8E08-9923-4BCC-B8D3-507128D24F86}"/>
            </a:ext>
          </a:extLst>
        </xdr:cNvPr>
        <xdr:cNvCxnSpPr/>
      </xdr:nvCxnSpPr>
      <xdr:spPr>
        <a:xfrm flipV="1">
          <a:off x="10615706" y="43405426"/>
          <a:ext cx="3193937" cy="1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121</xdr:row>
      <xdr:rowOff>0</xdr:rowOff>
    </xdr:from>
    <xdr:to>
      <xdr:col>2</xdr:col>
      <xdr:colOff>1428750</xdr:colOff>
      <xdr:row>121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34C2AE1-9599-4891-878E-A1C136D95955}"/>
            </a:ext>
          </a:extLst>
        </xdr:cNvPr>
        <xdr:cNvCxnSpPr/>
      </xdr:nvCxnSpPr>
      <xdr:spPr>
        <a:xfrm>
          <a:off x="0" y="43405425"/>
          <a:ext cx="2847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163287</xdr:colOff>
      <xdr:row>4</xdr:row>
      <xdr:rowOff>13607</xdr:rowOff>
    </xdr:from>
    <xdr:to>
      <xdr:col>3</xdr:col>
      <xdr:colOff>429652</xdr:colOff>
      <xdr:row>10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D673DA8-9A55-4A0A-BF81-6A81E6ABE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87" y="13607"/>
          <a:ext cx="1790365" cy="1167493"/>
        </a:xfrm>
        <a:prstGeom prst="rect">
          <a:avLst/>
        </a:prstGeom>
      </xdr:spPr>
    </xdr:pic>
    <xdr:clientData/>
  </xdr:twoCellAnchor>
  <xdr:twoCellAnchor>
    <xdr:from>
      <xdr:col>10</xdr:col>
      <xdr:colOff>1102179</xdr:colOff>
      <xdr:row>121</xdr:row>
      <xdr:rowOff>0</xdr:rowOff>
    </xdr:from>
    <xdr:to>
      <xdr:col>13</xdr:col>
      <xdr:colOff>105117</xdr:colOff>
      <xdr:row>121</xdr:row>
      <xdr:rowOff>185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74CC806-07CE-4113-89EF-88D73BA95077}"/>
            </a:ext>
          </a:extLst>
        </xdr:cNvPr>
        <xdr:cNvCxnSpPr/>
      </xdr:nvCxnSpPr>
      <xdr:spPr>
        <a:xfrm flipV="1">
          <a:off x="18856779" y="43405425"/>
          <a:ext cx="3298713" cy="1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0"/>
  <sheetViews>
    <sheetView zoomScale="68" zoomScaleNormal="68" workbookViewId="0">
      <selection activeCell="C186" sqref="C186"/>
    </sheetView>
  </sheetViews>
  <sheetFormatPr baseColWidth="10" defaultRowHeight="32.25" customHeight="1"/>
  <cols>
    <col min="1" max="1" width="21.28515625" style="47" customWidth="1"/>
    <col min="2" max="2" width="47.140625" customWidth="1"/>
    <col min="3" max="3" width="37.28515625" customWidth="1"/>
    <col min="4" max="4" width="22" style="32" customWidth="1"/>
    <col min="5" max="5" width="39" style="32" customWidth="1"/>
    <col min="6" max="7" width="26" customWidth="1"/>
    <col min="8" max="8" width="25.5703125" customWidth="1"/>
    <col min="9" max="9" width="24.28515625" customWidth="1"/>
    <col min="10" max="10" width="27" customWidth="1"/>
    <col min="11" max="11" width="23" customWidth="1"/>
    <col min="12" max="12" width="23.140625" customWidth="1"/>
    <col min="13" max="13" width="14.5703125" hidden="1" customWidth="1"/>
  </cols>
  <sheetData>
    <row r="1" spans="1:13" ht="19.5" customHeight="1">
      <c r="A1" s="124" t="s">
        <v>243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6"/>
    </row>
    <row r="2" spans="1:13" ht="19.5" customHeight="1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9"/>
    </row>
    <row r="3" spans="1:13" ht="22.5" customHeight="1">
      <c r="A3" s="127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9"/>
    </row>
    <row r="4" spans="1:13" ht="16.5" customHeight="1">
      <c r="A4" s="127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9"/>
    </row>
    <row r="5" spans="1:13" ht="19.5" customHeight="1">
      <c r="A5" s="127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9"/>
    </row>
    <row r="6" spans="1:13" ht="16.5" customHeight="1">
      <c r="A6" s="127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9"/>
    </row>
    <row r="7" spans="1:13" ht="32.25" customHeight="1">
      <c r="A7" s="38" t="s">
        <v>37</v>
      </c>
      <c r="B7" s="19" t="s">
        <v>26</v>
      </c>
      <c r="C7" s="19" t="s">
        <v>16</v>
      </c>
      <c r="D7" s="18" t="s">
        <v>17</v>
      </c>
      <c r="E7" s="18" t="s">
        <v>18</v>
      </c>
      <c r="F7" s="18" t="s">
        <v>27</v>
      </c>
      <c r="G7" s="18" t="s">
        <v>19</v>
      </c>
      <c r="H7" s="18" t="s">
        <v>10</v>
      </c>
      <c r="I7" s="18" t="s">
        <v>38</v>
      </c>
      <c r="J7" s="18" t="s">
        <v>20</v>
      </c>
      <c r="K7" s="18"/>
      <c r="L7" s="18"/>
      <c r="M7" s="13"/>
    </row>
    <row r="8" spans="1:13" ht="32.25" customHeight="1">
      <c r="A8" s="130" t="s">
        <v>39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"/>
    </row>
    <row r="9" spans="1:13" ht="32.25" customHeight="1">
      <c r="A9" s="38" t="s">
        <v>0</v>
      </c>
      <c r="B9" s="19" t="s">
        <v>1</v>
      </c>
      <c r="C9" s="19" t="s">
        <v>2</v>
      </c>
      <c r="D9" s="18" t="s">
        <v>13</v>
      </c>
      <c r="E9" s="18" t="s">
        <v>3</v>
      </c>
      <c r="F9" s="18" t="s">
        <v>28</v>
      </c>
      <c r="G9" s="18" t="s">
        <v>4</v>
      </c>
      <c r="H9" s="18" t="s">
        <v>6</v>
      </c>
      <c r="I9" s="18" t="s">
        <v>5</v>
      </c>
      <c r="J9" s="18" t="s">
        <v>31</v>
      </c>
      <c r="K9" s="18" t="s">
        <v>30</v>
      </c>
      <c r="L9" s="18" t="s">
        <v>29</v>
      </c>
      <c r="M9" s="13"/>
    </row>
    <row r="10" spans="1:13" ht="32.25" customHeight="1">
      <c r="A10" s="75">
        <v>1</v>
      </c>
      <c r="B10" s="21" t="s">
        <v>40</v>
      </c>
      <c r="C10" s="21" t="s">
        <v>231</v>
      </c>
      <c r="D10" s="22" t="s">
        <v>15</v>
      </c>
      <c r="E10" s="22" t="s">
        <v>42</v>
      </c>
      <c r="F10" s="36">
        <v>70000</v>
      </c>
      <c r="G10" s="36">
        <v>2009</v>
      </c>
      <c r="H10" s="36">
        <v>5368.45</v>
      </c>
      <c r="I10" s="36">
        <v>2128</v>
      </c>
      <c r="J10" s="36">
        <v>125</v>
      </c>
      <c r="K10" s="36">
        <f>G10+H10+I10+J10</f>
        <v>9630.4500000000007</v>
      </c>
      <c r="L10" s="36">
        <f>F10-K10</f>
        <v>60369.55</v>
      </c>
      <c r="M10" s="13"/>
    </row>
    <row r="11" spans="1:13" ht="32.25" customHeight="1">
      <c r="A11" s="75">
        <v>2</v>
      </c>
      <c r="B11" s="21" t="s">
        <v>43</v>
      </c>
      <c r="C11" s="21" t="s">
        <v>7</v>
      </c>
      <c r="D11" s="22" t="s">
        <v>14</v>
      </c>
      <c r="E11" s="22" t="s">
        <v>44</v>
      </c>
      <c r="F11" s="36">
        <v>245000</v>
      </c>
      <c r="G11" s="36">
        <v>7031.5</v>
      </c>
      <c r="H11" s="36">
        <v>45830.17</v>
      </c>
      <c r="I11" s="36">
        <v>7059.79</v>
      </c>
      <c r="J11" s="36">
        <v>6944.78</v>
      </c>
      <c r="K11" s="36">
        <f t="shared" ref="K11:K18" si="0">G11+H11+I11+J11</f>
        <v>66866.240000000005</v>
      </c>
      <c r="L11" s="36">
        <f t="shared" ref="L11:L19" si="1">F11-K11</f>
        <v>178133.76000000001</v>
      </c>
      <c r="M11" s="13"/>
    </row>
    <row r="12" spans="1:13" ht="32.25" customHeight="1">
      <c r="A12" s="75">
        <v>3</v>
      </c>
      <c r="B12" s="21" t="s">
        <v>45</v>
      </c>
      <c r="C12" s="21" t="s">
        <v>46</v>
      </c>
      <c r="D12" s="22" t="s">
        <v>15</v>
      </c>
      <c r="E12" s="22" t="s">
        <v>44</v>
      </c>
      <c r="F12" s="36">
        <v>180000</v>
      </c>
      <c r="G12" s="36">
        <v>5166</v>
      </c>
      <c r="H12" s="36">
        <v>30923.439999999999</v>
      </c>
      <c r="I12" s="36">
        <v>5472</v>
      </c>
      <c r="J12" s="36">
        <v>42954.93</v>
      </c>
      <c r="K12" s="36">
        <f t="shared" si="0"/>
        <v>84516.37</v>
      </c>
      <c r="L12" s="36">
        <f t="shared" si="1"/>
        <v>95483.63</v>
      </c>
      <c r="M12" s="13"/>
    </row>
    <row r="13" spans="1:13" ht="32.25" customHeight="1">
      <c r="A13" s="75">
        <v>4</v>
      </c>
      <c r="B13" s="21" t="s">
        <v>47</v>
      </c>
      <c r="C13" s="21" t="s">
        <v>48</v>
      </c>
      <c r="D13" s="22" t="s">
        <v>14</v>
      </c>
      <c r="E13" s="22" t="s">
        <v>44</v>
      </c>
      <c r="F13" s="36">
        <v>180000</v>
      </c>
      <c r="G13" s="36">
        <v>5166</v>
      </c>
      <c r="H13" s="36">
        <v>30443.49</v>
      </c>
      <c r="I13" s="36">
        <v>5472</v>
      </c>
      <c r="J13" s="36">
        <v>23553.39</v>
      </c>
      <c r="K13" s="36">
        <f t="shared" si="0"/>
        <v>64634.880000000005</v>
      </c>
      <c r="L13" s="36">
        <f t="shared" si="1"/>
        <v>115365.12</v>
      </c>
      <c r="M13" s="13"/>
    </row>
    <row r="14" spans="1:13" ht="32.25" customHeight="1">
      <c r="A14" s="75">
        <v>5</v>
      </c>
      <c r="B14" s="21" t="s">
        <v>49</v>
      </c>
      <c r="C14" s="21" t="s">
        <v>50</v>
      </c>
      <c r="D14" s="22" t="s">
        <v>14</v>
      </c>
      <c r="E14" s="22" t="s">
        <v>51</v>
      </c>
      <c r="F14" s="36">
        <v>150000</v>
      </c>
      <c r="G14" s="36">
        <v>4305</v>
      </c>
      <c r="H14" s="36">
        <v>21386.74</v>
      </c>
      <c r="I14" s="36">
        <v>4560</v>
      </c>
      <c r="J14" s="36">
        <v>12944.78</v>
      </c>
      <c r="K14" s="36">
        <f>G14+H14+I14+J14</f>
        <v>43196.520000000004</v>
      </c>
      <c r="L14" s="36">
        <f>F14-K14</f>
        <v>106803.48</v>
      </c>
      <c r="M14" s="13"/>
    </row>
    <row r="15" spans="1:13" ht="32.25" customHeight="1">
      <c r="A15" s="75">
        <v>6</v>
      </c>
      <c r="B15" s="21" t="s">
        <v>52</v>
      </c>
      <c r="C15" s="21" t="s">
        <v>46</v>
      </c>
      <c r="D15" s="22" t="s">
        <v>15</v>
      </c>
      <c r="E15" s="22" t="s">
        <v>44</v>
      </c>
      <c r="F15" s="23">
        <v>180000</v>
      </c>
      <c r="G15" s="36">
        <v>5166</v>
      </c>
      <c r="H15" s="36">
        <v>30923.439999999999</v>
      </c>
      <c r="I15" s="36">
        <v>5472</v>
      </c>
      <c r="J15" s="23">
        <v>35121.89</v>
      </c>
      <c r="K15" s="23">
        <f t="shared" si="0"/>
        <v>76683.33</v>
      </c>
      <c r="L15" s="23">
        <f t="shared" si="1"/>
        <v>103316.67</v>
      </c>
      <c r="M15" s="13"/>
    </row>
    <row r="16" spans="1:13" ht="32.25" customHeight="1">
      <c r="A16" s="75">
        <v>7</v>
      </c>
      <c r="B16" s="21" t="s">
        <v>53</v>
      </c>
      <c r="C16" s="21" t="s">
        <v>54</v>
      </c>
      <c r="D16" s="22" t="s">
        <v>15</v>
      </c>
      <c r="E16" s="24" t="s">
        <v>55</v>
      </c>
      <c r="F16" s="36">
        <v>70000</v>
      </c>
      <c r="G16" s="36">
        <v>2009</v>
      </c>
      <c r="H16" s="36">
        <v>4984.49</v>
      </c>
      <c r="I16" s="36">
        <v>2128</v>
      </c>
      <c r="J16" s="36">
        <v>1944.78</v>
      </c>
      <c r="K16" s="36">
        <f>G16+H16+I16+J16</f>
        <v>11066.27</v>
      </c>
      <c r="L16" s="23">
        <f t="shared" si="1"/>
        <v>58933.729999999996</v>
      </c>
      <c r="M16" s="13"/>
    </row>
    <row r="17" spans="1:13" ht="32.25" customHeight="1">
      <c r="A17" s="75">
        <v>8</v>
      </c>
      <c r="B17" s="37" t="s">
        <v>56</v>
      </c>
      <c r="C17" s="21" t="s">
        <v>54</v>
      </c>
      <c r="D17" s="22" t="s">
        <v>15</v>
      </c>
      <c r="E17" s="24" t="s">
        <v>55</v>
      </c>
      <c r="F17" s="36">
        <v>80000</v>
      </c>
      <c r="G17" s="36">
        <v>2296</v>
      </c>
      <c r="H17" s="36">
        <v>7400.94</v>
      </c>
      <c r="I17" s="36">
        <v>2432</v>
      </c>
      <c r="J17" s="36">
        <v>3025</v>
      </c>
      <c r="K17" s="36">
        <f t="shared" si="0"/>
        <v>15153.939999999999</v>
      </c>
      <c r="L17" s="36">
        <f t="shared" si="1"/>
        <v>64846.06</v>
      </c>
      <c r="M17" s="13"/>
    </row>
    <row r="18" spans="1:13" ht="32.25" customHeight="1">
      <c r="A18" s="75">
        <v>9</v>
      </c>
      <c r="B18" s="37" t="s">
        <v>57</v>
      </c>
      <c r="C18" s="37" t="s">
        <v>58</v>
      </c>
      <c r="D18" s="22" t="s">
        <v>14</v>
      </c>
      <c r="E18" s="24" t="s">
        <v>55</v>
      </c>
      <c r="F18" s="36">
        <v>40000</v>
      </c>
      <c r="G18" s="36">
        <v>1148</v>
      </c>
      <c r="H18" s="36">
        <v>0</v>
      </c>
      <c r="I18" s="36">
        <v>1216</v>
      </c>
      <c r="J18" s="36">
        <v>1025</v>
      </c>
      <c r="K18" s="36">
        <f t="shared" si="0"/>
        <v>3389</v>
      </c>
      <c r="L18" s="36">
        <f t="shared" si="1"/>
        <v>36611</v>
      </c>
      <c r="M18" s="13"/>
    </row>
    <row r="19" spans="1:13" ht="32.25" customHeight="1">
      <c r="A19" s="75">
        <v>10</v>
      </c>
      <c r="B19" s="37" t="s">
        <v>59</v>
      </c>
      <c r="C19" s="37" t="s">
        <v>41</v>
      </c>
      <c r="D19" s="22" t="s">
        <v>15</v>
      </c>
      <c r="E19" s="24" t="s">
        <v>51</v>
      </c>
      <c r="F19" s="36">
        <v>80000</v>
      </c>
      <c r="G19" s="36">
        <v>2296</v>
      </c>
      <c r="H19" s="36">
        <v>7400.94</v>
      </c>
      <c r="I19" s="36">
        <v>2432</v>
      </c>
      <c r="J19" s="36">
        <v>3525</v>
      </c>
      <c r="K19" s="36">
        <f>G19+H19+I19+J19</f>
        <v>15653.939999999999</v>
      </c>
      <c r="L19" s="36">
        <f t="shared" si="1"/>
        <v>64346.06</v>
      </c>
      <c r="M19" s="13"/>
    </row>
    <row r="20" spans="1:13" ht="32.25" customHeight="1">
      <c r="A20" s="39" t="s">
        <v>24</v>
      </c>
      <c r="B20" s="5"/>
      <c r="C20" s="5"/>
      <c r="D20" s="22"/>
      <c r="E20" s="4"/>
      <c r="F20" s="26">
        <f>SUM(F10:F19)</f>
        <v>1275000</v>
      </c>
      <c r="G20" s="26">
        <f t="shared" ref="G20:I20" si="2">SUM(G10:G19)</f>
        <v>36592.5</v>
      </c>
      <c r="H20" s="26">
        <f>+H10+H11+H12+H13+H14+H15+H16+H17+H18+H19</f>
        <v>184662.1</v>
      </c>
      <c r="I20" s="26">
        <f t="shared" si="2"/>
        <v>38371.79</v>
      </c>
      <c r="J20" s="26">
        <f>+J10+J11+J12+J13+J14+J15+J16+J17+J18+J19</f>
        <v>131164.54999999999</v>
      </c>
      <c r="K20" s="26">
        <f>+K10+K11+K12+K13+K14+K15+K16+K17+K18+K19</f>
        <v>390790.94000000006</v>
      </c>
      <c r="L20" s="26">
        <f>SUM(L10:L19)</f>
        <v>884209.06</v>
      </c>
      <c r="M20" s="13"/>
    </row>
    <row r="21" spans="1:13" ht="32.25" customHeight="1">
      <c r="A21" s="39"/>
      <c r="B21" s="5"/>
      <c r="C21" s="5"/>
      <c r="D21" s="22"/>
      <c r="E21" s="4"/>
      <c r="F21" s="26"/>
      <c r="G21" s="26"/>
      <c r="H21" s="26"/>
      <c r="I21" s="26"/>
      <c r="J21" s="26"/>
      <c r="K21" s="26"/>
      <c r="L21" s="26"/>
      <c r="M21" s="13"/>
    </row>
    <row r="22" spans="1:13" ht="32.25" customHeight="1">
      <c r="A22" s="131" t="s">
        <v>62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"/>
    </row>
    <row r="23" spans="1:13" ht="32.25" customHeight="1">
      <c r="A23" s="38" t="s">
        <v>0</v>
      </c>
      <c r="B23" s="19" t="s">
        <v>1</v>
      </c>
      <c r="C23" s="19" t="s">
        <v>2</v>
      </c>
      <c r="D23" s="18" t="s">
        <v>13</v>
      </c>
      <c r="E23" s="19" t="s">
        <v>3</v>
      </c>
      <c r="F23" s="18" t="s">
        <v>28</v>
      </c>
      <c r="G23" s="18" t="s">
        <v>4</v>
      </c>
      <c r="H23" s="18" t="s">
        <v>6</v>
      </c>
      <c r="I23" s="18" t="s">
        <v>5</v>
      </c>
      <c r="J23" s="18" t="s">
        <v>31</v>
      </c>
      <c r="K23" s="18" t="s">
        <v>30</v>
      </c>
      <c r="L23" s="18" t="s">
        <v>29</v>
      </c>
      <c r="M23" s="13"/>
    </row>
    <row r="24" spans="1:13" ht="32.25" customHeight="1">
      <c r="A24" s="75">
        <v>11</v>
      </c>
      <c r="B24" s="21" t="s">
        <v>63</v>
      </c>
      <c r="C24" s="21" t="s">
        <v>64</v>
      </c>
      <c r="D24" s="22" t="s">
        <v>15</v>
      </c>
      <c r="E24" s="22" t="s">
        <v>42</v>
      </c>
      <c r="F24" s="36">
        <f>49000+33500</f>
        <v>82500</v>
      </c>
      <c r="G24" s="36">
        <f>1406.3+961.45</f>
        <v>2367.75</v>
      </c>
      <c r="H24" s="36">
        <v>7989</v>
      </c>
      <c r="I24" s="36">
        <f>1489.6+1018.4</f>
        <v>2508</v>
      </c>
      <c r="J24" s="84">
        <v>19774</v>
      </c>
      <c r="K24" s="85">
        <f>G24+H24+I24+J24</f>
        <v>32638.75</v>
      </c>
      <c r="L24" s="85">
        <f>F24-K24</f>
        <v>49861.25</v>
      </c>
      <c r="M24" s="13"/>
    </row>
    <row r="25" spans="1:13" ht="32.25" customHeight="1">
      <c r="A25" s="39" t="s">
        <v>24</v>
      </c>
      <c r="B25" s="49"/>
      <c r="C25" s="49"/>
      <c r="D25" s="50"/>
      <c r="E25" s="51"/>
      <c r="F25" s="26">
        <f>+F24</f>
        <v>82500</v>
      </c>
      <c r="G25" s="26">
        <f>SUM(G24)</f>
        <v>2367.75</v>
      </c>
      <c r="H25" s="26">
        <f>+H24</f>
        <v>7989</v>
      </c>
      <c r="I25" s="26">
        <f>SUM(I24)</f>
        <v>2508</v>
      </c>
      <c r="J25" s="48">
        <f>+J24</f>
        <v>19774</v>
      </c>
      <c r="K25" s="48">
        <f>+K24</f>
        <v>32638.75</v>
      </c>
      <c r="L25" s="52">
        <f>F25-K25</f>
        <v>49861.25</v>
      </c>
      <c r="M25" s="13"/>
    </row>
    <row r="26" spans="1:13" ht="32.25" customHeight="1">
      <c r="A26" s="39"/>
      <c r="B26" s="49"/>
      <c r="C26" s="49"/>
      <c r="D26" s="50"/>
      <c r="E26" s="51"/>
      <c r="F26" s="26"/>
      <c r="G26" s="26"/>
      <c r="H26" s="26"/>
      <c r="I26" s="26"/>
      <c r="J26" s="48"/>
      <c r="K26" s="48"/>
      <c r="L26" s="52"/>
      <c r="M26" s="13"/>
    </row>
    <row r="27" spans="1:13" ht="32.25" customHeight="1">
      <c r="A27" s="137" t="s">
        <v>65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"/>
    </row>
    <row r="28" spans="1:13" ht="32.25" customHeight="1">
      <c r="A28" s="38" t="s">
        <v>0</v>
      </c>
      <c r="B28" s="19" t="s">
        <v>1</v>
      </c>
      <c r="C28" s="19" t="s">
        <v>2</v>
      </c>
      <c r="D28" s="18" t="s">
        <v>13</v>
      </c>
      <c r="E28" s="19" t="s">
        <v>3</v>
      </c>
      <c r="F28" s="18" t="s">
        <v>28</v>
      </c>
      <c r="G28" s="18" t="s">
        <v>4</v>
      </c>
      <c r="H28" s="18" t="s">
        <v>6</v>
      </c>
      <c r="I28" s="18" t="s">
        <v>5</v>
      </c>
      <c r="J28" s="18" t="s">
        <v>31</v>
      </c>
      <c r="K28" s="18" t="s">
        <v>30</v>
      </c>
      <c r="L28" s="18" t="s">
        <v>29</v>
      </c>
      <c r="M28" s="13"/>
    </row>
    <row r="29" spans="1:13" ht="32.25" customHeight="1">
      <c r="A29" s="75">
        <v>12</v>
      </c>
      <c r="B29" s="25" t="s">
        <v>66</v>
      </c>
      <c r="C29" s="25" t="s">
        <v>67</v>
      </c>
      <c r="D29" s="75" t="s">
        <v>14</v>
      </c>
      <c r="E29" s="53" t="s">
        <v>42</v>
      </c>
      <c r="F29" s="69">
        <v>50000</v>
      </c>
      <c r="G29" s="69">
        <v>1435</v>
      </c>
      <c r="H29" s="69">
        <v>591.82000000000005</v>
      </c>
      <c r="I29" s="69">
        <v>1520</v>
      </c>
      <c r="J29" s="69">
        <v>4470.26</v>
      </c>
      <c r="K29" s="69">
        <f>G29+H29+I29+J29</f>
        <v>8017.08</v>
      </c>
      <c r="L29" s="69">
        <f>F29-K29</f>
        <v>41982.92</v>
      </c>
      <c r="M29" s="13"/>
    </row>
    <row r="30" spans="1:13" ht="32.25" customHeight="1">
      <c r="A30" s="75">
        <v>13</v>
      </c>
      <c r="B30" s="25" t="s">
        <v>68</v>
      </c>
      <c r="C30" s="25" t="s">
        <v>69</v>
      </c>
      <c r="D30" s="53" t="s">
        <v>15</v>
      </c>
      <c r="E30" s="53" t="s">
        <v>42</v>
      </c>
      <c r="F30" s="72">
        <v>60000</v>
      </c>
      <c r="G30" s="72">
        <v>1722</v>
      </c>
      <c r="H30" s="72">
        <v>3486.65</v>
      </c>
      <c r="I30" s="69">
        <v>1824</v>
      </c>
      <c r="J30" s="72">
        <v>145</v>
      </c>
      <c r="K30" s="69">
        <f>G30+H30+I30+J30</f>
        <v>7177.65</v>
      </c>
      <c r="L30" s="72">
        <f>F30-K30</f>
        <v>52822.35</v>
      </c>
      <c r="M30" s="13"/>
    </row>
    <row r="31" spans="1:13" ht="32.25" customHeight="1">
      <c r="A31" s="75">
        <v>14</v>
      </c>
      <c r="B31" s="25" t="s">
        <v>70</v>
      </c>
      <c r="C31" s="25" t="s">
        <v>69</v>
      </c>
      <c r="D31" s="75" t="s">
        <v>15</v>
      </c>
      <c r="E31" s="53" t="s">
        <v>55</v>
      </c>
      <c r="F31" s="69">
        <v>100000</v>
      </c>
      <c r="G31" s="69">
        <v>2870</v>
      </c>
      <c r="H31" s="122">
        <v>11145.55</v>
      </c>
      <c r="I31" s="69">
        <v>3040</v>
      </c>
      <c r="J31" s="69">
        <v>4064.56</v>
      </c>
      <c r="K31" s="69">
        <f>G31+H31+I31+J31</f>
        <v>21120.11</v>
      </c>
      <c r="L31" s="69">
        <f>F31-K31</f>
        <v>78879.89</v>
      </c>
      <c r="M31" s="13"/>
    </row>
    <row r="32" spans="1:13" ht="32.25" customHeight="1">
      <c r="A32" s="75">
        <v>15</v>
      </c>
      <c r="B32" s="25" t="s">
        <v>71</v>
      </c>
      <c r="C32" s="25" t="s">
        <v>72</v>
      </c>
      <c r="D32" s="75" t="s">
        <v>15</v>
      </c>
      <c r="E32" s="53" t="s">
        <v>55</v>
      </c>
      <c r="F32" s="69">
        <v>45000</v>
      </c>
      <c r="G32" s="69">
        <v>1291.5</v>
      </c>
      <c r="H32" s="69">
        <v>0</v>
      </c>
      <c r="I32" s="69">
        <v>1368</v>
      </c>
      <c r="J32" s="69">
        <v>25</v>
      </c>
      <c r="K32" s="69">
        <f>G32+H32+I32+J32</f>
        <v>2684.5</v>
      </c>
      <c r="L32" s="69">
        <f>F32-K32</f>
        <v>42315.5</v>
      </c>
      <c r="M32" s="13"/>
    </row>
    <row r="33" spans="1:13" ht="32.25" customHeight="1">
      <c r="A33" s="53">
        <v>16</v>
      </c>
      <c r="B33" s="25" t="s">
        <v>73</v>
      </c>
      <c r="C33" s="25" t="s">
        <v>74</v>
      </c>
      <c r="D33" s="75" t="s">
        <v>14</v>
      </c>
      <c r="E33" s="53" t="s">
        <v>55</v>
      </c>
      <c r="F33" s="69">
        <f>35000+20000</f>
        <v>55000</v>
      </c>
      <c r="G33" s="69">
        <f>574+1004.5</f>
        <v>1578.5</v>
      </c>
      <c r="H33" s="69">
        <v>2559.67</v>
      </c>
      <c r="I33" s="69">
        <f>608+1064</f>
        <v>1672</v>
      </c>
      <c r="J33" s="69">
        <f>725</f>
        <v>725</v>
      </c>
      <c r="K33" s="69">
        <f>G33+H33+I33+J33</f>
        <v>6535.17</v>
      </c>
      <c r="L33" s="69">
        <f>F33-K33</f>
        <v>48464.83</v>
      </c>
      <c r="M33" s="13"/>
    </row>
    <row r="34" spans="1:13" ht="32.25" customHeight="1">
      <c r="A34" s="39" t="s">
        <v>24</v>
      </c>
      <c r="B34" s="123"/>
      <c r="C34" s="123"/>
      <c r="D34" s="121"/>
      <c r="E34" s="39"/>
      <c r="F34" s="100">
        <f>SUM(F29:F33)</f>
        <v>310000</v>
      </c>
      <c r="G34" s="100">
        <f t="shared" ref="G34:I34" si="3">SUM(G29:G33)</f>
        <v>8897</v>
      </c>
      <c r="H34" s="100">
        <f>+H29+H30+H31+H32+H33</f>
        <v>17783.690000000002</v>
      </c>
      <c r="I34" s="100">
        <f t="shared" si="3"/>
        <v>9424</v>
      </c>
      <c r="J34" s="100">
        <f>+J29+J30+J31+J32+J33</f>
        <v>9429.82</v>
      </c>
      <c r="K34" s="100">
        <f>+K29+K30+K31+K32+K33</f>
        <v>45534.509999999995</v>
      </c>
      <c r="L34" s="100">
        <f>SUM(L29:L33)</f>
        <v>264465.49</v>
      </c>
      <c r="M34" s="13"/>
    </row>
    <row r="35" spans="1:13" ht="32.25" customHeight="1">
      <c r="A35" s="39"/>
      <c r="B35" s="5"/>
      <c r="C35" s="5"/>
      <c r="D35" s="6"/>
      <c r="E35" s="4"/>
      <c r="F35" s="26"/>
      <c r="G35" s="26"/>
      <c r="H35" s="26"/>
      <c r="I35" s="26"/>
      <c r="J35" s="26"/>
      <c r="K35" s="26"/>
      <c r="L35" s="26"/>
      <c r="M35" s="13"/>
    </row>
    <row r="36" spans="1:13" ht="32.25" customHeight="1">
      <c r="A36" s="136" t="s">
        <v>75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"/>
    </row>
    <row r="37" spans="1:13" ht="32.25" customHeight="1">
      <c r="A37" s="38" t="s">
        <v>0</v>
      </c>
      <c r="B37" s="19" t="s">
        <v>1</v>
      </c>
      <c r="C37" s="19" t="s">
        <v>2</v>
      </c>
      <c r="D37" s="18" t="s">
        <v>13</v>
      </c>
      <c r="E37" s="19" t="s">
        <v>3</v>
      </c>
      <c r="F37" s="18" t="s">
        <v>28</v>
      </c>
      <c r="G37" s="18" t="s">
        <v>4</v>
      </c>
      <c r="H37" s="18" t="s">
        <v>6</v>
      </c>
      <c r="I37" s="18" t="s">
        <v>5</v>
      </c>
      <c r="J37" s="18" t="s">
        <v>31</v>
      </c>
      <c r="K37" s="18" t="s">
        <v>30</v>
      </c>
      <c r="L37" s="18" t="s">
        <v>29</v>
      </c>
      <c r="M37" s="13"/>
    </row>
    <row r="38" spans="1:13" ht="32.25" customHeight="1">
      <c r="A38" s="75">
        <v>17</v>
      </c>
      <c r="B38" s="25" t="s">
        <v>76</v>
      </c>
      <c r="C38" s="25" t="s">
        <v>36</v>
      </c>
      <c r="D38" s="75" t="s">
        <v>14</v>
      </c>
      <c r="E38" s="53" t="s">
        <v>42</v>
      </c>
      <c r="F38" s="69">
        <f>45000+15000</f>
        <v>60000</v>
      </c>
      <c r="G38" s="69">
        <f>1291.5+430.5</f>
        <v>1722</v>
      </c>
      <c r="H38" s="69">
        <v>3102.69</v>
      </c>
      <c r="I38" s="69">
        <f>1368+456</f>
        <v>1824</v>
      </c>
      <c r="J38" s="69">
        <v>3673.78</v>
      </c>
      <c r="K38" s="69">
        <f>G38+H38+I38+J38</f>
        <v>10322.470000000001</v>
      </c>
      <c r="L38" s="69">
        <f>F38-K38</f>
        <v>49677.53</v>
      </c>
      <c r="M38" s="13"/>
    </row>
    <row r="39" spans="1:13" ht="32.25" customHeight="1">
      <c r="A39" s="75">
        <v>18</v>
      </c>
      <c r="B39" s="25" t="s">
        <v>77</v>
      </c>
      <c r="C39" s="25" t="s">
        <v>78</v>
      </c>
      <c r="D39" s="75" t="s">
        <v>15</v>
      </c>
      <c r="E39" s="53" t="s">
        <v>55</v>
      </c>
      <c r="F39" s="69">
        <v>37000</v>
      </c>
      <c r="G39" s="69">
        <v>1061.9000000000001</v>
      </c>
      <c r="H39" s="69">
        <v>0</v>
      </c>
      <c r="I39" s="69">
        <v>1124.8</v>
      </c>
      <c r="J39" s="69">
        <v>7565.96</v>
      </c>
      <c r="K39" s="69">
        <f>G39+H39+I39+J39</f>
        <v>9752.66</v>
      </c>
      <c r="L39" s="69">
        <f>F39-K39</f>
        <v>27247.34</v>
      </c>
      <c r="M39" s="13"/>
    </row>
    <row r="40" spans="1:13" ht="32.25" customHeight="1">
      <c r="A40" s="53">
        <v>19</v>
      </c>
      <c r="B40" s="25" t="s">
        <v>209</v>
      </c>
      <c r="C40" s="25" t="s">
        <v>110</v>
      </c>
      <c r="D40" s="75" t="s">
        <v>14</v>
      </c>
      <c r="E40" s="53" t="s">
        <v>55</v>
      </c>
      <c r="F40" s="69">
        <v>37000</v>
      </c>
      <c r="G40" s="69">
        <v>1061.9000000000001</v>
      </c>
      <c r="H40" s="69">
        <v>0</v>
      </c>
      <c r="I40" s="69">
        <v>1124.8</v>
      </c>
      <c r="J40" s="69">
        <v>4867.08</v>
      </c>
      <c r="K40" s="69">
        <f>G40+H40+I40+J40</f>
        <v>7053.78</v>
      </c>
      <c r="L40" s="69">
        <f>F40-K40</f>
        <v>29946.22</v>
      </c>
      <c r="M40" s="14"/>
    </row>
    <row r="41" spans="1:13" ht="32.25" customHeight="1">
      <c r="A41" s="39" t="s">
        <v>24</v>
      </c>
      <c r="B41" s="120"/>
      <c r="C41" s="120"/>
      <c r="D41" s="121"/>
      <c r="E41" s="39"/>
      <c r="F41" s="100">
        <f>SUM(F38:F40)</f>
        <v>134000</v>
      </c>
      <c r="G41" s="100">
        <f>SUM(G38:G40)</f>
        <v>3845.8</v>
      </c>
      <c r="H41" s="100">
        <f>+H38+H39</f>
        <v>3102.69</v>
      </c>
      <c r="I41" s="100">
        <f>SUM(I38:I40)</f>
        <v>4073.6000000000004</v>
      </c>
      <c r="J41" s="100">
        <f>SUM(J38:J40)</f>
        <v>16106.82</v>
      </c>
      <c r="K41" s="100">
        <f>SUM(K38:K40)</f>
        <v>27128.91</v>
      </c>
      <c r="L41" s="100">
        <f>SUM(L38:L40)</f>
        <v>106871.09</v>
      </c>
      <c r="M41" s="13"/>
    </row>
    <row r="42" spans="1:13" ht="32.25" customHeight="1">
      <c r="A42" s="136" t="s">
        <v>79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"/>
    </row>
    <row r="43" spans="1:13" ht="32.25" customHeight="1">
      <c r="A43" s="38" t="s">
        <v>0</v>
      </c>
      <c r="B43" s="19" t="s">
        <v>1</v>
      </c>
      <c r="C43" s="19" t="s">
        <v>2</v>
      </c>
      <c r="D43" s="18" t="s">
        <v>13</v>
      </c>
      <c r="E43" s="19" t="s">
        <v>3</v>
      </c>
      <c r="F43" s="18" t="s">
        <v>28</v>
      </c>
      <c r="G43" s="18" t="s">
        <v>4</v>
      </c>
      <c r="H43" s="18" t="s">
        <v>6</v>
      </c>
      <c r="I43" s="18" t="s">
        <v>5</v>
      </c>
      <c r="J43" s="18" t="s">
        <v>31</v>
      </c>
      <c r="K43" s="18" t="s">
        <v>30</v>
      </c>
      <c r="L43" s="18" t="s">
        <v>29</v>
      </c>
      <c r="M43" s="13"/>
    </row>
    <row r="44" spans="1:13" ht="32.25" customHeight="1">
      <c r="A44" s="75">
        <v>20</v>
      </c>
      <c r="B44" s="21" t="s">
        <v>82</v>
      </c>
      <c r="C44" s="21" t="s">
        <v>83</v>
      </c>
      <c r="D44" s="73" t="s">
        <v>15</v>
      </c>
      <c r="E44" s="22" t="s">
        <v>84</v>
      </c>
      <c r="F44" s="23">
        <v>122500</v>
      </c>
      <c r="G44" s="23">
        <v>3515.75</v>
      </c>
      <c r="H44" s="23">
        <v>16438.11</v>
      </c>
      <c r="I44" s="23">
        <v>3724</v>
      </c>
      <c r="J44" s="23">
        <v>53055.58</v>
      </c>
      <c r="K44" s="23">
        <f>G44+H44+I44+J44</f>
        <v>76733.440000000002</v>
      </c>
      <c r="L44" s="23">
        <f>F44-K44</f>
        <v>45766.559999999998</v>
      </c>
      <c r="M44" s="13"/>
    </row>
    <row r="45" spans="1:13" ht="32.25" customHeight="1">
      <c r="A45" s="75">
        <v>21</v>
      </c>
      <c r="B45" s="21" t="s">
        <v>85</v>
      </c>
      <c r="C45" s="21" t="s">
        <v>35</v>
      </c>
      <c r="D45" s="73" t="s">
        <v>15</v>
      </c>
      <c r="E45" s="22" t="s">
        <v>42</v>
      </c>
      <c r="F45" s="23">
        <v>70000</v>
      </c>
      <c r="G45" s="23">
        <v>2009</v>
      </c>
      <c r="H45" s="23">
        <v>4984.49</v>
      </c>
      <c r="I45" s="23">
        <v>2128</v>
      </c>
      <c r="J45" s="23">
        <v>3644.78</v>
      </c>
      <c r="K45" s="23">
        <f t="shared" ref="K45:K49" si="4">G45+H45+I45+J45</f>
        <v>12766.27</v>
      </c>
      <c r="L45" s="23">
        <f t="shared" ref="L45:L49" si="5">F45-K45</f>
        <v>57233.729999999996</v>
      </c>
      <c r="M45" s="13"/>
    </row>
    <row r="46" spans="1:13" ht="32.25" customHeight="1">
      <c r="A46" s="75">
        <v>22</v>
      </c>
      <c r="B46" s="37" t="s">
        <v>86</v>
      </c>
      <c r="C46" s="37" t="s">
        <v>35</v>
      </c>
      <c r="D46" s="73" t="s">
        <v>15</v>
      </c>
      <c r="E46" s="22" t="s">
        <v>55</v>
      </c>
      <c r="F46" s="8">
        <f>35000+20000</f>
        <v>55000</v>
      </c>
      <c r="G46" s="23">
        <f>1004.5+574</f>
        <v>1578.5</v>
      </c>
      <c r="H46" s="23">
        <v>2559.67</v>
      </c>
      <c r="I46" s="8">
        <f>1064+608</f>
        <v>1672</v>
      </c>
      <c r="J46" s="8">
        <v>11109.88</v>
      </c>
      <c r="K46" s="23">
        <f>G46+H46+I46+J46</f>
        <v>16920.05</v>
      </c>
      <c r="L46" s="23">
        <f t="shared" si="5"/>
        <v>38079.949999999997</v>
      </c>
      <c r="M46" s="13"/>
    </row>
    <row r="47" spans="1:13" ht="32.25" customHeight="1">
      <c r="A47" s="75">
        <v>23</v>
      </c>
      <c r="B47" s="37" t="s">
        <v>87</v>
      </c>
      <c r="C47" s="83" t="s">
        <v>35</v>
      </c>
      <c r="D47" s="73" t="s">
        <v>14</v>
      </c>
      <c r="E47" s="22" t="s">
        <v>42</v>
      </c>
      <c r="F47" s="23">
        <v>60000</v>
      </c>
      <c r="G47" s="23">
        <v>1722</v>
      </c>
      <c r="H47" s="23">
        <v>3486.65</v>
      </c>
      <c r="I47" s="23">
        <v>1824</v>
      </c>
      <c r="J47" s="23">
        <v>25</v>
      </c>
      <c r="K47" s="23">
        <f t="shared" si="4"/>
        <v>7057.65</v>
      </c>
      <c r="L47" s="23">
        <f t="shared" si="5"/>
        <v>52942.35</v>
      </c>
      <c r="M47" s="13"/>
    </row>
    <row r="48" spans="1:13" ht="32.25" customHeight="1">
      <c r="A48" s="75">
        <v>24</v>
      </c>
      <c r="B48" s="37" t="s">
        <v>88</v>
      </c>
      <c r="C48" s="37" t="s">
        <v>35</v>
      </c>
      <c r="D48" s="73" t="s">
        <v>15</v>
      </c>
      <c r="E48" s="22" t="s">
        <v>55</v>
      </c>
      <c r="F48" s="23">
        <v>55000</v>
      </c>
      <c r="G48" s="23">
        <f>1004.5+574</f>
        <v>1578.5</v>
      </c>
      <c r="H48" s="23">
        <v>2271.71</v>
      </c>
      <c r="I48" s="23">
        <f>1064+608</f>
        <v>1672</v>
      </c>
      <c r="J48" s="23">
        <v>15806.63</v>
      </c>
      <c r="K48" s="23">
        <f>G48+H48+I48+J48</f>
        <v>21328.84</v>
      </c>
      <c r="L48" s="23">
        <f>F48-K48</f>
        <v>33671.160000000003</v>
      </c>
      <c r="M48" s="13"/>
    </row>
    <row r="49" spans="1:13" ht="32.25" customHeight="1">
      <c r="A49" s="75">
        <v>25</v>
      </c>
      <c r="B49" s="37" t="s">
        <v>89</v>
      </c>
      <c r="C49" s="37" t="s">
        <v>90</v>
      </c>
      <c r="D49" s="73" t="s">
        <v>15</v>
      </c>
      <c r="E49" s="22" t="s">
        <v>55</v>
      </c>
      <c r="F49" s="23">
        <v>30000</v>
      </c>
      <c r="G49" s="23">
        <v>861</v>
      </c>
      <c r="H49" s="23">
        <v>0</v>
      </c>
      <c r="I49" s="23">
        <v>912</v>
      </c>
      <c r="J49" s="23">
        <v>11141.53</v>
      </c>
      <c r="K49" s="23">
        <f t="shared" si="4"/>
        <v>12914.53</v>
      </c>
      <c r="L49" s="23">
        <f t="shared" si="5"/>
        <v>17085.47</v>
      </c>
      <c r="M49" s="13"/>
    </row>
    <row r="50" spans="1:13" ht="32.25" customHeight="1">
      <c r="A50" s="39" t="s">
        <v>24</v>
      </c>
      <c r="B50" s="5"/>
      <c r="C50" s="5"/>
      <c r="D50" s="6"/>
      <c r="E50" s="4"/>
      <c r="F50" s="26">
        <f t="shared" ref="F50:L50" si="6">SUM(F44:F49)</f>
        <v>392500</v>
      </c>
      <c r="G50" s="26">
        <f t="shared" si="6"/>
        <v>11264.75</v>
      </c>
      <c r="H50" s="26">
        <f t="shared" si="6"/>
        <v>29740.629999999997</v>
      </c>
      <c r="I50" s="26">
        <f t="shared" si="6"/>
        <v>11932</v>
      </c>
      <c r="J50" s="26">
        <f t="shared" si="6"/>
        <v>94783.400000000009</v>
      </c>
      <c r="K50" s="26">
        <f t="shared" si="6"/>
        <v>147720.78</v>
      </c>
      <c r="L50" s="26">
        <f t="shared" si="6"/>
        <v>244779.22</v>
      </c>
      <c r="M50" s="13"/>
    </row>
    <row r="51" spans="1:13" ht="32.25" customHeight="1">
      <c r="A51" s="39"/>
      <c r="B51" s="5"/>
      <c r="C51" s="5"/>
      <c r="D51" s="6"/>
      <c r="E51" s="4"/>
      <c r="F51" s="26"/>
      <c r="G51" s="26"/>
      <c r="H51" s="26"/>
      <c r="I51" s="26"/>
      <c r="J51" s="26"/>
      <c r="K51" s="26"/>
      <c r="L51" s="26"/>
      <c r="M51" s="13"/>
    </row>
    <row r="52" spans="1:13" ht="32.25" customHeight="1">
      <c r="A52" s="136" t="s">
        <v>91</v>
      </c>
      <c r="B52" s="136" t="s">
        <v>92</v>
      </c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"/>
    </row>
    <row r="53" spans="1:13" ht="32.25" customHeight="1">
      <c r="A53" s="38" t="s">
        <v>0</v>
      </c>
      <c r="B53" s="19" t="s">
        <v>1</v>
      </c>
      <c r="C53" s="19" t="s">
        <v>2</v>
      </c>
      <c r="D53" s="18" t="s">
        <v>13</v>
      </c>
      <c r="E53" s="19" t="s">
        <v>3</v>
      </c>
      <c r="F53" s="18" t="s">
        <v>28</v>
      </c>
      <c r="G53" s="18" t="s">
        <v>4</v>
      </c>
      <c r="H53" s="18" t="s">
        <v>6</v>
      </c>
      <c r="I53" s="18" t="s">
        <v>5</v>
      </c>
      <c r="J53" s="18" t="s">
        <v>31</v>
      </c>
      <c r="K53" s="18" t="s">
        <v>30</v>
      </c>
      <c r="L53" s="18" t="s">
        <v>29</v>
      </c>
      <c r="M53" s="13"/>
    </row>
    <row r="54" spans="1:13" ht="32.25" customHeight="1">
      <c r="A54" s="53">
        <v>26</v>
      </c>
      <c r="B54" s="21" t="s">
        <v>93</v>
      </c>
      <c r="C54" s="21" t="s">
        <v>94</v>
      </c>
      <c r="D54" s="22" t="s">
        <v>15</v>
      </c>
      <c r="E54" s="22" t="s">
        <v>55</v>
      </c>
      <c r="F54" s="23">
        <f>35000+10000</f>
        <v>45000</v>
      </c>
      <c r="G54" s="23">
        <f>1004.5+287</f>
        <v>1291.5</v>
      </c>
      <c r="H54" s="23">
        <v>0</v>
      </c>
      <c r="I54" s="23">
        <f>1064+304</f>
        <v>1368</v>
      </c>
      <c r="J54" s="23">
        <v>1225</v>
      </c>
      <c r="K54" s="8">
        <f>G54+H54+I54+J54</f>
        <v>3884.5</v>
      </c>
      <c r="L54" s="23">
        <f>F54-K54</f>
        <v>41115.5</v>
      </c>
      <c r="M54" s="13"/>
    </row>
    <row r="55" spans="1:13" ht="32.25" customHeight="1">
      <c r="A55" s="39" t="s">
        <v>24</v>
      </c>
      <c r="B55" s="7"/>
      <c r="C55" s="7"/>
      <c r="D55" s="6"/>
      <c r="E55" s="4"/>
      <c r="F55" s="26">
        <f t="shared" ref="F55:L55" si="7">SUM(F54:F54)</f>
        <v>45000</v>
      </c>
      <c r="G55" s="26">
        <f t="shared" si="7"/>
        <v>1291.5</v>
      </c>
      <c r="H55" s="26">
        <f>+H54</f>
        <v>0</v>
      </c>
      <c r="I55" s="26">
        <f t="shared" si="7"/>
        <v>1368</v>
      </c>
      <c r="J55" s="26">
        <f>+J54</f>
        <v>1225</v>
      </c>
      <c r="K55" s="26">
        <f>+K54</f>
        <v>3884.5</v>
      </c>
      <c r="L55" s="26">
        <f t="shared" si="7"/>
        <v>41115.5</v>
      </c>
      <c r="M55" s="13"/>
    </row>
    <row r="56" spans="1:13" ht="32.25" customHeight="1">
      <c r="A56" s="39"/>
      <c r="B56" s="7"/>
      <c r="C56" s="7"/>
      <c r="D56" s="6"/>
      <c r="E56" s="4"/>
      <c r="F56" s="26"/>
      <c r="G56" s="26"/>
      <c r="H56" s="26"/>
      <c r="I56" s="26"/>
      <c r="J56" s="26"/>
      <c r="K56" s="26"/>
      <c r="L56" s="26"/>
      <c r="M56" s="13"/>
    </row>
    <row r="57" spans="1:13" ht="32.25" customHeight="1">
      <c r="A57" s="136" t="s">
        <v>95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"/>
    </row>
    <row r="58" spans="1:13" ht="32.25" customHeight="1">
      <c r="A58" s="38" t="s">
        <v>0</v>
      </c>
      <c r="B58" s="19" t="s">
        <v>1</v>
      </c>
      <c r="C58" s="19" t="s">
        <v>2</v>
      </c>
      <c r="D58" s="18" t="s">
        <v>13</v>
      </c>
      <c r="E58" s="19" t="s">
        <v>3</v>
      </c>
      <c r="F58" s="18" t="s">
        <v>28</v>
      </c>
      <c r="G58" s="18" t="s">
        <v>4</v>
      </c>
      <c r="H58" s="18" t="s">
        <v>6</v>
      </c>
      <c r="I58" s="18" t="s">
        <v>5</v>
      </c>
      <c r="J58" s="18" t="s">
        <v>31</v>
      </c>
      <c r="K58" s="18" t="s">
        <v>30</v>
      </c>
      <c r="L58" s="18" t="s">
        <v>29</v>
      </c>
      <c r="M58" s="13"/>
    </row>
    <row r="59" spans="1:13" ht="62.25" customHeight="1">
      <c r="A59" s="53">
        <v>27</v>
      </c>
      <c r="B59" s="21" t="s">
        <v>96</v>
      </c>
      <c r="C59" s="83" t="s">
        <v>97</v>
      </c>
      <c r="D59" s="54" t="s">
        <v>15</v>
      </c>
      <c r="E59" s="22" t="s">
        <v>42</v>
      </c>
      <c r="F59" s="8">
        <f>50000+51500</f>
        <v>101500</v>
      </c>
      <c r="G59" s="8">
        <f>1435+1478.05</f>
        <v>2913.05</v>
      </c>
      <c r="H59" s="8">
        <f>1854+10604.27</f>
        <v>12458.27</v>
      </c>
      <c r="I59" s="8">
        <f>1520+1565.6</f>
        <v>3085.6</v>
      </c>
      <c r="J59" s="8">
        <v>6151.6</v>
      </c>
      <c r="K59" s="8">
        <f>G59+H59+I59+J59</f>
        <v>24608.519999999997</v>
      </c>
      <c r="L59" s="8">
        <f>F59-K59</f>
        <v>76891.48000000001</v>
      </c>
      <c r="M59" s="13"/>
    </row>
    <row r="60" spans="1:13" ht="32.25" customHeight="1">
      <c r="A60" s="39" t="s">
        <v>24</v>
      </c>
      <c r="B60" s="7"/>
      <c r="C60" s="7"/>
      <c r="D60" s="6"/>
      <c r="E60" s="4"/>
      <c r="F60" s="26">
        <f>SUM(F59:F59)</f>
        <v>101500</v>
      </c>
      <c r="G60" s="26">
        <f>SUM(G59:G59)</f>
        <v>2913.05</v>
      </c>
      <c r="H60" s="26">
        <f>+H59</f>
        <v>12458.27</v>
      </c>
      <c r="I60" s="26">
        <f>+SUM(I59:I59)</f>
        <v>3085.6</v>
      </c>
      <c r="J60" s="26">
        <f>+J59</f>
        <v>6151.6</v>
      </c>
      <c r="K60" s="26">
        <f>+K59</f>
        <v>24608.519999999997</v>
      </c>
      <c r="L60" s="26">
        <f>SUM(L59:L59)</f>
        <v>76891.48000000001</v>
      </c>
      <c r="M60" s="13"/>
    </row>
    <row r="61" spans="1:13" ht="32.25" customHeight="1">
      <c r="A61" s="39"/>
      <c r="B61" s="7"/>
      <c r="C61" s="7"/>
      <c r="D61" s="6"/>
      <c r="E61" s="4"/>
      <c r="F61" s="26"/>
      <c r="G61" s="26"/>
      <c r="H61" s="26"/>
      <c r="I61" s="26"/>
      <c r="J61" s="26"/>
      <c r="K61" s="26"/>
      <c r="L61" s="26"/>
      <c r="M61" s="13"/>
    </row>
    <row r="62" spans="1:13" ht="32.25" customHeight="1">
      <c r="A62" s="136" t="s">
        <v>98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"/>
    </row>
    <row r="63" spans="1:13" ht="32.25" customHeight="1">
      <c r="A63" s="38" t="s">
        <v>0</v>
      </c>
      <c r="B63" s="19" t="s">
        <v>1</v>
      </c>
      <c r="C63" s="19" t="s">
        <v>2</v>
      </c>
      <c r="D63" s="18" t="s">
        <v>13</v>
      </c>
      <c r="E63" s="19" t="s">
        <v>3</v>
      </c>
      <c r="F63" s="18" t="s">
        <v>28</v>
      </c>
      <c r="G63" s="18" t="s">
        <v>4</v>
      </c>
      <c r="H63" s="18" t="s">
        <v>6</v>
      </c>
      <c r="I63" s="18" t="s">
        <v>5</v>
      </c>
      <c r="J63" s="18" t="s">
        <v>31</v>
      </c>
      <c r="K63" s="18" t="s">
        <v>30</v>
      </c>
      <c r="L63" s="18" t="s">
        <v>29</v>
      </c>
      <c r="M63" s="13"/>
    </row>
    <row r="64" spans="1:13" ht="43.5" customHeight="1">
      <c r="A64" s="75">
        <v>28</v>
      </c>
      <c r="B64" s="21" t="s">
        <v>99</v>
      </c>
      <c r="C64" s="21" t="s">
        <v>100</v>
      </c>
      <c r="D64" s="22" t="s">
        <v>14</v>
      </c>
      <c r="E64" s="22" t="s">
        <v>55</v>
      </c>
      <c r="F64" s="8">
        <v>37000</v>
      </c>
      <c r="G64" s="8">
        <v>1061.9000000000001</v>
      </c>
      <c r="H64" s="23">
        <v>0</v>
      </c>
      <c r="I64" s="8">
        <v>1124.8</v>
      </c>
      <c r="J64" s="8">
        <v>225</v>
      </c>
      <c r="K64" s="8">
        <f t="shared" ref="K64:K69" si="8">G64+H64+I64+J64</f>
        <v>2411.6999999999998</v>
      </c>
      <c r="L64" s="8">
        <f t="shared" ref="L64:L69" si="9">F64-K64</f>
        <v>34588.300000000003</v>
      </c>
      <c r="M64" s="13"/>
    </row>
    <row r="65" spans="1:13" ht="32.25" customHeight="1">
      <c r="A65" s="75">
        <v>29</v>
      </c>
      <c r="B65" s="25" t="s">
        <v>101</v>
      </c>
      <c r="C65" s="21" t="s">
        <v>102</v>
      </c>
      <c r="D65" s="22" t="s">
        <v>14</v>
      </c>
      <c r="E65" s="22" t="s">
        <v>42</v>
      </c>
      <c r="F65" s="8">
        <v>60000</v>
      </c>
      <c r="G65" s="8">
        <v>1722</v>
      </c>
      <c r="H65" s="23">
        <v>2718.74</v>
      </c>
      <c r="I65" s="8">
        <v>1824</v>
      </c>
      <c r="J65" s="8">
        <v>7528.06</v>
      </c>
      <c r="K65" s="8">
        <f t="shared" si="8"/>
        <v>13792.8</v>
      </c>
      <c r="L65" s="8">
        <f t="shared" si="9"/>
        <v>46207.199999999997</v>
      </c>
      <c r="M65" s="13"/>
    </row>
    <row r="66" spans="1:13" ht="73.5" customHeight="1">
      <c r="A66" s="75">
        <v>30</v>
      </c>
      <c r="B66" s="21" t="s">
        <v>103</v>
      </c>
      <c r="C66" s="21" t="s">
        <v>104</v>
      </c>
      <c r="D66" s="22" t="s">
        <v>14</v>
      </c>
      <c r="E66" s="22" t="s">
        <v>42</v>
      </c>
      <c r="F66" s="8">
        <v>122500</v>
      </c>
      <c r="G66" s="8">
        <v>3515.75</v>
      </c>
      <c r="H66" s="8">
        <v>16438.11</v>
      </c>
      <c r="I66" s="8">
        <v>3724</v>
      </c>
      <c r="J66" s="8">
        <v>3964.56</v>
      </c>
      <c r="K66" s="8">
        <f t="shared" si="8"/>
        <v>27642.420000000002</v>
      </c>
      <c r="L66" s="8">
        <f t="shared" si="9"/>
        <v>94857.58</v>
      </c>
      <c r="M66" s="13"/>
    </row>
    <row r="67" spans="1:13" ht="32.25" customHeight="1">
      <c r="A67" s="75">
        <v>31</v>
      </c>
      <c r="B67" s="21" t="s">
        <v>105</v>
      </c>
      <c r="C67" s="21" t="s">
        <v>106</v>
      </c>
      <c r="D67" s="22" t="s">
        <v>14</v>
      </c>
      <c r="E67" s="22" t="s">
        <v>42</v>
      </c>
      <c r="F67" s="8">
        <v>54450</v>
      </c>
      <c r="G67" s="8">
        <v>1562.72</v>
      </c>
      <c r="H67" s="23">
        <v>2482.0500000000002</v>
      </c>
      <c r="I67" s="8">
        <v>1655.28</v>
      </c>
      <c r="J67" s="8">
        <v>2025</v>
      </c>
      <c r="K67" s="8">
        <f t="shared" si="8"/>
        <v>7725.05</v>
      </c>
      <c r="L67" s="8">
        <f t="shared" si="9"/>
        <v>46724.95</v>
      </c>
      <c r="M67" s="13"/>
    </row>
    <row r="68" spans="1:13" ht="43.5" customHeight="1">
      <c r="A68" s="75">
        <v>32</v>
      </c>
      <c r="B68" s="21" t="s">
        <v>107</v>
      </c>
      <c r="C68" s="21" t="s">
        <v>108</v>
      </c>
      <c r="D68" s="22" t="s">
        <v>14</v>
      </c>
      <c r="E68" s="22" t="s">
        <v>42</v>
      </c>
      <c r="F68" s="8">
        <f>48000+45000</f>
        <v>93000</v>
      </c>
      <c r="G68" s="8">
        <f>1291.5+1377.6</f>
        <v>2669.1</v>
      </c>
      <c r="H68" s="23">
        <v>10458.86</v>
      </c>
      <c r="I68" s="8">
        <f>1368+1459.2</f>
        <v>2827.2</v>
      </c>
      <c r="J68" s="8">
        <v>18562.740000000002</v>
      </c>
      <c r="K68" s="8">
        <f>G68+H68+I68+J68</f>
        <v>34517.9</v>
      </c>
      <c r="L68" s="8">
        <f t="shared" si="9"/>
        <v>58482.1</v>
      </c>
      <c r="M68" s="13"/>
    </row>
    <row r="69" spans="1:13" ht="50.25" customHeight="1">
      <c r="A69" s="75">
        <v>33</v>
      </c>
      <c r="B69" s="21" t="s">
        <v>109</v>
      </c>
      <c r="C69" s="21" t="s">
        <v>110</v>
      </c>
      <c r="D69" s="22" t="s">
        <v>14</v>
      </c>
      <c r="E69" s="22" t="s">
        <v>55</v>
      </c>
      <c r="F69" s="8">
        <v>33500</v>
      </c>
      <c r="G69" s="8">
        <v>961.45</v>
      </c>
      <c r="H69" s="23">
        <v>0</v>
      </c>
      <c r="I69" s="8">
        <v>1018.4</v>
      </c>
      <c r="J69" s="8">
        <v>1397.1</v>
      </c>
      <c r="K69" s="8">
        <f t="shared" si="8"/>
        <v>3376.95</v>
      </c>
      <c r="L69" s="8">
        <f t="shared" si="9"/>
        <v>30123.05</v>
      </c>
      <c r="M69" s="13"/>
    </row>
    <row r="70" spans="1:13" ht="32.25" customHeight="1">
      <c r="A70" s="39" t="s">
        <v>24</v>
      </c>
      <c r="B70" s="7"/>
      <c r="C70" s="7"/>
      <c r="D70" s="6"/>
      <c r="E70" s="4"/>
      <c r="F70" s="26">
        <f>SUM(F64:F69)</f>
        <v>400450</v>
      </c>
      <c r="G70" s="26">
        <f t="shared" ref="G70:L70" si="10">SUM(G64:G69)</f>
        <v>11492.92</v>
      </c>
      <c r="H70" s="100">
        <f>+H64+H65+H66+H67+H68+H69</f>
        <v>32097.759999999998</v>
      </c>
      <c r="I70" s="26">
        <f t="shared" si="10"/>
        <v>12173.679999999998</v>
      </c>
      <c r="J70" s="26">
        <f>+J64+J65+J66+J67+J68+J69</f>
        <v>33702.46</v>
      </c>
      <c r="K70" s="26">
        <f>+K64+K65+K66+K67+K68+K69</f>
        <v>89466.819999999992</v>
      </c>
      <c r="L70" s="9">
        <f t="shared" si="10"/>
        <v>310983.18</v>
      </c>
      <c r="M70" s="13"/>
    </row>
    <row r="71" spans="1:13" ht="32.25" customHeight="1">
      <c r="A71" s="39"/>
      <c r="B71" s="7"/>
      <c r="C71" s="7"/>
      <c r="D71" s="6"/>
      <c r="E71" s="4"/>
      <c r="F71" s="26"/>
      <c r="G71" s="26"/>
      <c r="H71" s="26"/>
      <c r="I71" s="26"/>
      <c r="J71" s="26"/>
      <c r="K71" s="26"/>
      <c r="L71" s="9"/>
      <c r="M71" s="13"/>
    </row>
    <row r="72" spans="1:13" ht="32.25" customHeight="1">
      <c r="A72" s="39"/>
      <c r="B72" s="7"/>
      <c r="C72" s="7"/>
      <c r="D72" s="6"/>
      <c r="E72" s="4"/>
      <c r="F72" s="26"/>
      <c r="G72" s="26"/>
      <c r="H72" s="26"/>
      <c r="I72" s="26"/>
      <c r="J72" s="26"/>
      <c r="K72" s="26"/>
      <c r="L72" s="9"/>
      <c r="M72" s="13"/>
    </row>
    <row r="73" spans="1:13" ht="32.25" customHeight="1">
      <c r="A73" s="39"/>
      <c r="B73" s="7"/>
      <c r="C73" s="7"/>
      <c r="D73" s="6"/>
      <c r="E73" s="4"/>
      <c r="F73" s="26"/>
      <c r="G73" s="26"/>
      <c r="H73" s="26"/>
      <c r="I73" s="26"/>
      <c r="J73" s="26"/>
      <c r="K73" s="26"/>
      <c r="L73" s="9"/>
      <c r="M73" s="13"/>
    </row>
    <row r="74" spans="1:13" ht="32.25" customHeight="1">
      <c r="A74" s="136" t="s">
        <v>111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"/>
    </row>
    <row r="75" spans="1:13" ht="32.25" customHeight="1">
      <c r="A75" s="38" t="s">
        <v>0</v>
      </c>
      <c r="B75" s="19" t="s">
        <v>1</v>
      </c>
      <c r="C75" s="19" t="s">
        <v>2</v>
      </c>
      <c r="D75" s="18" t="s">
        <v>13</v>
      </c>
      <c r="E75" s="19" t="s">
        <v>3</v>
      </c>
      <c r="F75" s="18" t="s">
        <v>28</v>
      </c>
      <c r="G75" s="18" t="s">
        <v>4</v>
      </c>
      <c r="H75" s="18" t="s">
        <v>6</v>
      </c>
      <c r="I75" s="18" t="s">
        <v>5</v>
      </c>
      <c r="J75" s="18" t="s">
        <v>31</v>
      </c>
      <c r="K75" s="18" t="s">
        <v>30</v>
      </c>
      <c r="L75" s="18" t="s">
        <v>29</v>
      </c>
      <c r="M75" s="13"/>
    </row>
    <row r="76" spans="1:13" ht="32.25" customHeight="1">
      <c r="A76" s="75">
        <v>34</v>
      </c>
      <c r="B76" s="21" t="s">
        <v>112</v>
      </c>
      <c r="C76" s="21" t="s">
        <v>113</v>
      </c>
      <c r="D76" s="73" t="s">
        <v>15</v>
      </c>
      <c r="E76" s="22" t="s">
        <v>42</v>
      </c>
      <c r="F76" s="23">
        <v>122500</v>
      </c>
      <c r="G76" s="23">
        <v>3515.75</v>
      </c>
      <c r="H76" s="23">
        <v>16918.05</v>
      </c>
      <c r="I76" s="23">
        <v>3724</v>
      </c>
      <c r="J76" s="23">
        <v>6058.08</v>
      </c>
      <c r="K76" s="23">
        <f>G76+H76+I76+J76</f>
        <v>30215.879999999997</v>
      </c>
      <c r="L76" s="23">
        <f>F76-K76</f>
        <v>92284.12</v>
      </c>
      <c r="M76" s="13"/>
    </row>
    <row r="77" spans="1:13" ht="32.25" customHeight="1">
      <c r="A77" s="53">
        <v>35</v>
      </c>
      <c r="B77" s="21" t="s">
        <v>114</v>
      </c>
      <c r="C77" s="21" t="s">
        <v>33</v>
      </c>
      <c r="D77" s="22" t="s">
        <v>14</v>
      </c>
      <c r="E77" s="22" t="s">
        <v>55</v>
      </c>
      <c r="F77" s="23">
        <f>35000+20000</f>
        <v>55000</v>
      </c>
      <c r="G77" s="23">
        <f>1004.5+574</f>
        <v>1578.5</v>
      </c>
      <c r="H77" s="23">
        <v>1455.41</v>
      </c>
      <c r="I77" s="23">
        <f>1064+608</f>
        <v>1672</v>
      </c>
      <c r="J77" s="23">
        <v>10309.879999999999</v>
      </c>
      <c r="K77" s="23">
        <f>G77+H77+I77+J77</f>
        <v>15015.789999999999</v>
      </c>
      <c r="L77" s="8">
        <f>F77-K77</f>
        <v>39984.21</v>
      </c>
      <c r="M77" s="13"/>
    </row>
    <row r="78" spans="1:13" ht="32.25" customHeight="1">
      <c r="A78" s="53">
        <v>36</v>
      </c>
      <c r="B78" s="21" t="s">
        <v>121</v>
      </c>
      <c r="C78" s="21" t="s">
        <v>120</v>
      </c>
      <c r="D78" s="22" t="s">
        <v>15</v>
      </c>
      <c r="E78" s="22" t="s">
        <v>42</v>
      </c>
      <c r="F78" s="57">
        <v>50000</v>
      </c>
      <c r="G78" s="57">
        <v>1435</v>
      </c>
      <c r="H78" s="87" t="s">
        <v>244</v>
      </c>
      <c r="I78" s="57">
        <v>1520</v>
      </c>
      <c r="J78" s="57">
        <v>13415.85</v>
      </c>
      <c r="K78" s="57">
        <f>G78+H78+I78+J78</f>
        <v>16962.670000000002</v>
      </c>
      <c r="L78" s="57">
        <f>F78-K78</f>
        <v>33037.33</v>
      </c>
      <c r="M78" s="13"/>
    </row>
    <row r="79" spans="1:13" ht="32.25" customHeight="1">
      <c r="A79" s="39" t="s">
        <v>24</v>
      </c>
      <c r="B79" s="7"/>
      <c r="C79" s="7"/>
      <c r="D79" s="6"/>
      <c r="E79" s="4"/>
      <c r="F79" s="26">
        <f>SUM(F76:F78)</f>
        <v>227500</v>
      </c>
      <c r="G79" s="26">
        <f t="shared" ref="G79:L79" si="11">SUM(G76:G78)</f>
        <v>6529.25</v>
      </c>
      <c r="H79" s="26">
        <f>+H76+H77+H78</f>
        <v>18965.28</v>
      </c>
      <c r="I79" s="26">
        <f t="shared" si="11"/>
        <v>6916</v>
      </c>
      <c r="J79" s="26">
        <f>+J76+J77+J78</f>
        <v>29783.809999999998</v>
      </c>
      <c r="K79" s="26">
        <f>+K76+K77+K78</f>
        <v>62194.34</v>
      </c>
      <c r="L79" s="26">
        <f t="shared" si="11"/>
        <v>165305.65999999997</v>
      </c>
      <c r="M79" s="13"/>
    </row>
    <row r="80" spans="1:13" ht="32.25" customHeight="1">
      <c r="A80" s="39"/>
      <c r="B80" s="7"/>
      <c r="C80" s="7"/>
      <c r="D80" s="6"/>
      <c r="E80" s="4"/>
      <c r="F80" s="26"/>
      <c r="G80" s="26"/>
      <c r="H80" s="26"/>
      <c r="I80" s="26"/>
      <c r="J80" s="26"/>
      <c r="K80" s="26"/>
      <c r="L80" s="26"/>
      <c r="M80" s="13"/>
    </row>
    <row r="81" spans="1:13" ht="32.25" customHeight="1">
      <c r="A81" s="136" t="s">
        <v>115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"/>
    </row>
    <row r="82" spans="1:13" ht="32.25" customHeight="1">
      <c r="A82" s="38" t="s">
        <v>0</v>
      </c>
      <c r="B82" s="19" t="s">
        <v>1</v>
      </c>
      <c r="C82" s="19" t="s">
        <v>2</v>
      </c>
      <c r="D82" s="18" t="s">
        <v>13</v>
      </c>
      <c r="E82" s="19" t="s">
        <v>3</v>
      </c>
      <c r="F82" s="18" t="s">
        <v>28</v>
      </c>
      <c r="G82" s="18" t="s">
        <v>4</v>
      </c>
      <c r="H82" s="18" t="s">
        <v>6</v>
      </c>
      <c r="I82" s="18" t="s">
        <v>5</v>
      </c>
      <c r="J82" s="18" t="s">
        <v>31</v>
      </c>
      <c r="K82" s="18" t="s">
        <v>30</v>
      </c>
      <c r="L82" s="18" t="s">
        <v>29</v>
      </c>
      <c r="M82" s="13"/>
    </row>
    <row r="83" spans="1:13" ht="32.25" customHeight="1">
      <c r="A83" s="75">
        <v>37</v>
      </c>
      <c r="B83" s="37" t="s">
        <v>116</v>
      </c>
      <c r="C83" s="21" t="s">
        <v>54</v>
      </c>
      <c r="D83" s="22" t="s">
        <v>15</v>
      </c>
      <c r="E83" s="24" t="s">
        <v>55</v>
      </c>
      <c r="F83" s="82">
        <v>70000</v>
      </c>
      <c r="G83" s="8">
        <f>F83*0.0287</f>
        <v>2009</v>
      </c>
      <c r="H83" s="23">
        <v>5368.45</v>
      </c>
      <c r="I83" s="23">
        <f>IF(F83&lt;75829.93,F83*0.0304,2305.23)</f>
        <v>2128</v>
      </c>
      <c r="J83" s="36">
        <v>42538.96</v>
      </c>
      <c r="K83" s="36">
        <f>+G83+I83+H83+J83</f>
        <v>52044.41</v>
      </c>
      <c r="L83" s="36">
        <f>+F83-K83</f>
        <v>17955.589999999997</v>
      </c>
      <c r="M83" s="13"/>
    </row>
    <row r="84" spans="1:13" ht="32.25" customHeight="1">
      <c r="A84" s="39" t="s">
        <v>24</v>
      </c>
      <c r="B84" s="7"/>
      <c r="C84" s="7"/>
      <c r="D84" s="6"/>
      <c r="E84" s="4"/>
      <c r="F84" s="55">
        <f>+F83</f>
        <v>70000</v>
      </c>
      <c r="G84" s="56">
        <f>+SUM(G83)</f>
        <v>2009</v>
      </c>
      <c r="H84" s="101">
        <f>+H83</f>
        <v>5368.45</v>
      </c>
      <c r="I84" s="55">
        <f>+SUM(I83)</f>
        <v>2128</v>
      </c>
      <c r="J84" s="55">
        <f>+J83</f>
        <v>42538.96</v>
      </c>
      <c r="K84" s="26">
        <f>+K83</f>
        <v>52044.41</v>
      </c>
      <c r="L84" s="55">
        <f>SUM(L83)</f>
        <v>17955.589999999997</v>
      </c>
      <c r="M84" s="13"/>
    </row>
    <row r="85" spans="1:13" ht="32.25" customHeight="1">
      <c r="A85" s="39"/>
      <c r="B85" s="7"/>
      <c r="C85" s="7"/>
      <c r="D85" s="6"/>
      <c r="E85" s="4"/>
      <c r="F85" s="55"/>
      <c r="G85" s="56"/>
      <c r="H85" s="101"/>
      <c r="I85" s="55"/>
      <c r="J85" s="55"/>
      <c r="K85" s="26"/>
      <c r="L85" s="55"/>
      <c r="M85" s="13"/>
    </row>
    <row r="86" spans="1:13" ht="32.25" customHeight="1">
      <c r="A86" s="136" t="s">
        <v>117</v>
      </c>
      <c r="B86" s="136" t="s">
        <v>92</v>
      </c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"/>
    </row>
    <row r="87" spans="1:13" ht="32.25" customHeight="1">
      <c r="A87" s="38" t="s">
        <v>0</v>
      </c>
      <c r="B87" s="19" t="s">
        <v>1</v>
      </c>
      <c r="C87" s="19" t="s">
        <v>2</v>
      </c>
      <c r="D87" s="18" t="s">
        <v>13</v>
      </c>
      <c r="E87" s="19" t="s">
        <v>3</v>
      </c>
      <c r="F87" s="18" t="s">
        <v>28</v>
      </c>
      <c r="G87" s="18" t="s">
        <v>4</v>
      </c>
      <c r="H87" s="18" t="s">
        <v>6</v>
      </c>
      <c r="I87" s="18" t="s">
        <v>5</v>
      </c>
      <c r="J87" s="18" t="s">
        <v>31</v>
      </c>
      <c r="K87" s="18" t="s">
        <v>30</v>
      </c>
      <c r="L87" s="18" t="s">
        <v>29</v>
      </c>
      <c r="M87" s="13"/>
    </row>
    <row r="88" spans="1:13" ht="32.25" customHeight="1">
      <c r="A88" s="75">
        <v>38</v>
      </c>
      <c r="B88" s="21" t="s">
        <v>119</v>
      </c>
      <c r="C88" s="21" t="s">
        <v>120</v>
      </c>
      <c r="D88" s="22" t="s">
        <v>15</v>
      </c>
      <c r="E88" s="22" t="s">
        <v>42</v>
      </c>
      <c r="F88" s="77">
        <v>60000</v>
      </c>
      <c r="G88" s="77">
        <f>717.5+1004.5</f>
        <v>1722</v>
      </c>
      <c r="H88" s="88">
        <v>3102.69</v>
      </c>
      <c r="I88" s="77">
        <f>760+1064</f>
        <v>1824</v>
      </c>
      <c r="J88" s="77">
        <v>19018.64</v>
      </c>
      <c r="K88" s="77">
        <f>G88+H88+I88+J88</f>
        <v>25667.33</v>
      </c>
      <c r="L88" s="77">
        <f>F88-K88</f>
        <v>34332.67</v>
      </c>
      <c r="M88" s="13"/>
    </row>
    <row r="89" spans="1:13" ht="32.25" customHeight="1">
      <c r="A89" s="53">
        <v>39</v>
      </c>
      <c r="B89" s="78" t="s">
        <v>233</v>
      </c>
      <c r="C89" s="78" t="s">
        <v>234</v>
      </c>
      <c r="D89" s="79" t="s">
        <v>15</v>
      </c>
      <c r="E89" s="22" t="s">
        <v>42</v>
      </c>
      <c r="F89" s="80">
        <v>55000</v>
      </c>
      <c r="G89" s="16">
        <v>1578.5</v>
      </c>
      <c r="H89" s="88">
        <v>2559.67</v>
      </c>
      <c r="I89" s="16">
        <v>1672</v>
      </c>
      <c r="J89" s="16">
        <v>1039.5</v>
      </c>
      <c r="K89" s="16">
        <f>G89+H89+I89+J89</f>
        <v>6849.67</v>
      </c>
      <c r="L89" s="81">
        <f>F89-K89</f>
        <v>48150.33</v>
      </c>
      <c r="M89" s="58"/>
    </row>
    <row r="90" spans="1:13" ht="32.25" customHeight="1">
      <c r="A90" s="39" t="s">
        <v>24</v>
      </c>
      <c r="B90" s="7"/>
      <c r="C90" s="7"/>
      <c r="D90" s="6"/>
      <c r="E90" s="4"/>
      <c r="F90" s="26">
        <f>SUM(F88:F89)</f>
        <v>115000</v>
      </c>
      <c r="G90" s="26">
        <f>SUM(G88:G89)</f>
        <v>3300.5</v>
      </c>
      <c r="H90" s="26">
        <f>+H88+H89</f>
        <v>5662.3600000000006</v>
      </c>
      <c r="I90" s="26">
        <f>SUM(I88:I89)</f>
        <v>3496</v>
      </c>
      <c r="J90" s="26">
        <f>+J88+J89</f>
        <v>20058.14</v>
      </c>
      <c r="K90" s="26">
        <f>+K88+K89</f>
        <v>32517</v>
      </c>
      <c r="L90" s="26">
        <f>SUM(L88:L89)</f>
        <v>82483</v>
      </c>
      <c r="M90" s="13"/>
    </row>
    <row r="91" spans="1:13" ht="32.25" customHeight="1">
      <c r="A91" s="39"/>
      <c r="B91" s="7"/>
      <c r="C91" s="7"/>
      <c r="D91" s="6"/>
      <c r="E91" s="4"/>
      <c r="F91" s="26"/>
      <c r="G91" s="26"/>
      <c r="H91" s="26"/>
      <c r="I91" s="26"/>
      <c r="J91" s="26"/>
      <c r="K91" s="26"/>
      <c r="L91" s="26"/>
      <c r="M91" s="13"/>
    </row>
    <row r="92" spans="1:13" ht="32.25" customHeight="1">
      <c r="A92" s="136" t="s">
        <v>122</v>
      </c>
      <c r="B92" s="136" t="s">
        <v>92</v>
      </c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"/>
    </row>
    <row r="93" spans="1:13" ht="32.25" customHeight="1">
      <c r="A93" s="38" t="s">
        <v>0</v>
      </c>
      <c r="B93" s="19" t="s">
        <v>1</v>
      </c>
      <c r="C93" s="19" t="s">
        <v>2</v>
      </c>
      <c r="D93" s="18" t="s">
        <v>13</v>
      </c>
      <c r="E93" s="19" t="s">
        <v>3</v>
      </c>
      <c r="F93" s="18" t="s">
        <v>28</v>
      </c>
      <c r="G93" s="18" t="s">
        <v>4</v>
      </c>
      <c r="H93" s="18" t="s">
        <v>6</v>
      </c>
      <c r="I93" s="18" t="s">
        <v>5</v>
      </c>
      <c r="J93" s="18" t="s">
        <v>31</v>
      </c>
      <c r="K93" s="18" t="s">
        <v>30</v>
      </c>
      <c r="L93" s="18" t="s">
        <v>29</v>
      </c>
      <c r="M93" s="13"/>
    </row>
    <row r="94" spans="1:13" ht="32.25" customHeight="1">
      <c r="A94" s="53">
        <v>40</v>
      </c>
      <c r="B94" s="21" t="s">
        <v>130</v>
      </c>
      <c r="C94" s="21" t="s">
        <v>110</v>
      </c>
      <c r="D94" s="22" t="s">
        <v>15</v>
      </c>
      <c r="E94" s="22" t="s">
        <v>55</v>
      </c>
      <c r="F94" s="23">
        <v>35000</v>
      </c>
      <c r="G94" s="23">
        <v>1004.5</v>
      </c>
      <c r="H94" s="23">
        <v>0</v>
      </c>
      <c r="I94" s="23">
        <v>1064</v>
      </c>
      <c r="J94" s="23">
        <v>225</v>
      </c>
      <c r="K94" s="23">
        <f t="shared" ref="K94:K96" si="12">G94+H94+I94+J94</f>
        <v>2293.5</v>
      </c>
      <c r="L94" s="23">
        <f t="shared" ref="L94:L97" si="13">F94-K94</f>
        <v>32706.5</v>
      </c>
      <c r="M94" s="14"/>
    </row>
    <row r="95" spans="1:13" ht="32.25" customHeight="1">
      <c r="A95" s="75">
        <v>41</v>
      </c>
      <c r="B95" s="59" t="s">
        <v>132</v>
      </c>
      <c r="C95" s="59" t="s">
        <v>133</v>
      </c>
      <c r="D95" s="22" t="s">
        <v>15</v>
      </c>
      <c r="E95" s="22" t="s">
        <v>55</v>
      </c>
      <c r="F95" s="8">
        <v>33500</v>
      </c>
      <c r="G95" s="36">
        <v>961.45</v>
      </c>
      <c r="H95" s="89">
        <v>0</v>
      </c>
      <c r="I95" s="23">
        <v>1018.4</v>
      </c>
      <c r="J95" s="8">
        <v>5299.3</v>
      </c>
      <c r="K95" s="8">
        <f t="shared" si="12"/>
        <v>7279.15</v>
      </c>
      <c r="L95" s="36">
        <f t="shared" si="13"/>
        <v>26220.85</v>
      </c>
      <c r="M95" s="14"/>
    </row>
    <row r="96" spans="1:13" ht="32.25" customHeight="1">
      <c r="A96" s="75">
        <v>42</v>
      </c>
      <c r="B96" s="59" t="s">
        <v>134</v>
      </c>
      <c r="C96" s="59" t="s">
        <v>126</v>
      </c>
      <c r="D96" s="22" t="s">
        <v>15</v>
      </c>
      <c r="E96" s="22" t="s">
        <v>55</v>
      </c>
      <c r="F96" s="8">
        <v>30000</v>
      </c>
      <c r="G96" s="36">
        <v>861</v>
      </c>
      <c r="H96" s="89">
        <v>0</v>
      </c>
      <c r="I96" s="23">
        <v>912</v>
      </c>
      <c r="J96" s="8">
        <v>7403.52</v>
      </c>
      <c r="K96" s="8">
        <f t="shared" si="12"/>
        <v>9176.52</v>
      </c>
      <c r="L96" s="36">
        <f t="shared" si="13"/>
        <v>20823.48</v>
      </c>
      <c r="M96" s="14"/>
    </row>
    <row r="97" spans="1:13" ht="32.25" customHeight="1">
      <c r="A97" s="75">
        <v>43</v>
      </c>
      <c r="B97" s="59" t="s">
        <v>135</v>
      </c>
      <c r="C97" s="59" t="s">
        <v>110</v>
      </c>
      <c r="D97" s="22" t="s">
        <v>14</v>
      </c>
      <c r="E97" s="22" t="s">
        <v>55</v>
      </c>
      <c r="F97" s="8">
        <v>30000</v>
      </c>
      <c r="G97" s="36">
        <v>861</v>
      </c>
      <c r="H97" s="89">
        <v>0</v>
      </c>
      <c r="I97" s="23">
        <v>912</v>
      </c>
      <c r="J97" s="8">
        <v>225</v>
      </c>
      <c r="K97" s="8">
        <f>G97+H97+I97+J97</f>
        <v>1998</v>
      </c>
      <c r="L97" s="36">
        <f t="shared" si="13"/>
        <v>28002</v>
      </c>
      <c r="M97" s="14"/>
    </row>
    <row r="98" spans="1:13" ht="32.25" customHeight="1">
      <c r="A98" s="39" t="s">
        <v>24</v>
      </c>
      <c r="B98" s="7"/>
      <c r="C98" s="7"/>
      <c r="D98" s="6"/>
      <c r="E98" s="4"/>
      <c r="F98" s="26">
        <f>SUM(F94:F97)</f>
        <v>128500</v>
      </c>
      <c r="G98" s="26">
        <f t="shared" ref="G98:L98" si="14">SUM(G94:G97)</f>
        <v>3687.95</v>
      </c>
      <c r="H98" s="26">
        <f>+H94+H95+H96+H97</f>
        <v>0</v>
      </c>
      <c r="I98" s="26">
        <f t="shared" si="14"/>
        <v>3906.4</v>
      </c>
      <c r="J98" s="26">
        <f>+J94+J95+J96+J97</f>
        <v>13152.82</v>
      </c>
      <c r="K98" s="26">
        <f>+K94+K95+K96+K97</f>
        <v>20747.169999999998</v>
      </c>
      <c r="L98" s="26">
        <f t="shared" si="14"/>
        <v>107752.83</v>
      </c>
      <c r="M98" s="14"/>
    </row>
    <row r="99" spans="1:13" ht="32.25" customHeight="1">
      <c r="A99" s="39"/>
      <c r="B99" s="7"/>
      <c r="C99" s="7"/>
      <c r="D99" s="6"/>
      <c r="E99" s="4"/>
      <c r="F99" s="26"/>
      <c r="G99" s="26"/>
      <c r="H99" s="26"/>
      <c r="I99" s="26"/>
      <c r="J99" s="26"/>
      <c r="K99" s="26"/>
      <c r="L99" s="26"/>
      <c r="M99" s="14"/>
    </row>
    <row r="100" spans="1:13" ht="32.25" customHeight="1">
      <c r="A100" s="136" t="s">
        <v>136</v>
      </c>
      <c r="B100" s="136" t="s">
        <v>92</v>
      </c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4"/>
    </row>
    <row r="101" spans="1:13" ht="32.25" customHeight="1">
      <c r="A101" s="38" t="s">
        <v>0</v>
      </c>
      <c r="B101" s="19" t="s">
        <v>1</v>
      </c>
      <c r="C101" s="19" t="s">
        <v>2</v>
      </c>
      <c r="D101" s="18" t="s">
        <v>13</v>
      </c>
      <c r="E101" s="19" t="s">
        <v>3</v>
      </c>
      <c r="F101" s="18" t="s">
        <v>28</v>
      </c>
      <c r="G101" s="18" t="s">
        <v>4</v>
      </c>
      <c r="H101" s="18" t="s">
        <v>6</v>
      </c>
      <c r="I101" s="18" t="s">
        <v>5</v>
      </c>
      <c r="J101" s="18" t="s">
        <v>31</v>
      </c>
      <c r="K101" s="18" t="s">
        <v>30</v>
      </c>
      <c r="L101" s="18" t="s">
        <v>29</v>
      </c>
      <c r="M101" s="14"/>
    </row>
    <row r="102" spans="1:13" ht="32.25" customHeight="1">
      <c r="A102" s="53">
        <v>44</v>
      </c>
      <c r="B102" s="21" t="s">
        <v>137</v>
      </c>
      <c r="C102" s="21" t="s">
        <v>232</v>
      </c>
      <c r="D102" s="22" t="s">
        <v>14</v>
      </c>
      <c r="E102" s="22" t="s">
        <v>42</v>
      </c>
      <c r="F102" s="23">
        <f>45000+37500</f>
        <v>82500</v>
      </c>
      <c r="G102" s="23">
        <v>2367.75</v>
      </c>
      <c r="H102" s="23">
        <v>7989</v>
      </c>
      <c r="I102" s="23">
        <v>2508</v>
      </c>
      <c r="J102" s="23">
        <v>27364.86</v>
      </c>
      <c r="K102" s="23">
        <f>G102+H102+I102+J102</f>
        <v>40229.61</v>
      </c>
      <c r="L102" s="23">
        <f>F102-K102</f>
        <v>42270.39</v>
      </c>
      <c r="M102" s="14"/>
    </row>
    <row r="103" spans="1:13" ht="32.25" customHeight="1">
      <c r="A103" s="75">
        <v>45</v>
      </c>
      <c r="B103" s="21" t="s">
        <v>237</v>
      </c>
      <c r="C103" s="21" t="s">
        <v>118</v>
      </c>
      <c r="D103" s="73" t="s">
        <v>15</v>
      </c>
      <c r="E103" s="22" t="s">
        <v>42</v>
      </c>
      <c r="F103" s="57">
        <v>60000</v>
      </c>
      <c r="G103" s="57">
        <v>1722</v>
      </c>
      <c r="H103" s="23">
        <v>3486.65</v>
      </c>
      <c r="I103" s="57">
        <v>1824</v>
      </c>
      <c r="J103" s="57">
        <v>225</v>
      </c>
      <c r="K103" s="57">
        <f>G103+H103+I103+J103</f>
        <v>7257.65</v>
      </c>
      <c r="L103" s="57">
        <f>F103-K103</f>
        <v>52742.35</v>
      </c>
      <c r="M103" s="13"/>
    </row>
    <row r="104" spans="1:13" ht="32.25" customHeight="1">
      <c r="A104" s="39" t="s">
        <v>24</v>
      </c>
      <c r="B104" s="7"/>
      <c r="C104" s="7"/>
      <c r="D104" s="6"/>
      <c r="E104" s="4"/>
      <c r="F104" s="26">
        <f>SUM(F102:F103)</f>
        <v>142500</v>
      </c>
      <c r="G104" s="26">
        <f>SUM(G102:G103)</f>
        <v>4089.75</v>
      </c>
      <c r="H104" s="26">
        <f>+H102+H103</f>
        <v>11475.65</v>
      </c>
      <c r="I104" s="26">
        <f>I102+I103</f>
        <v>4332</v>
      </c>
      <c r="J104" s="26">
        <f>+J102+J103</f>
        <v>27589.86</v>
      </c>
      <c r="K104" s="26">
        <f>+K102+K103</f>
        <v>47487.26</v>
      </c>
      <c r="L104" s="26">
        <f>L102+L103</f>
        <v>95012.739999999991</v>
      </c>
      <c r="M104" s="14"/>
    </row>
    <row r="105" spans="1:13" ht="32.25" customHeight="1">
      <c r="A105" s="39"/>
      <c r="B105" s="7"/>
      <c r="C105" s="7"/>
      <c r="D105" s="6"/>
      <c r="E105" s="4"/>
      <c r="F105" s="26"/>
      <c r="G105" s="26"/>
      <c r="H105" s="26"/>
      <c r="I105" s="26"/>
      <c r="K105" s="26"/>
      <c r="L105" s="26"/>
      <c r="M105" s="14"/>
    </row>
    <row r="106" spans="1:13" ht="32.25" customHeight="1">
      <c r="A106" s="39"/>
      <c r="B106" s="7"/>
      <c r="C106" s="7"/>
      <c r="D106" s="6"/>
      <c r="E106" s="4"/>
      <c r="F106" s="26"/>
      <c r="G106" s="26"/>
      <c r="H106" s="26"/>
      <c r="I106" s="26"/>
      <c r="J106" s="26"/>
      <c r="K106" s="26"/>
      <c r="L106" s="26"/>
      <c r="M106" s="14"/>
    </row>
    <row r="107" spans="1:13" ht="32.25" customHeight="1">
      <c r="A107" s="39"/>
      <c r="B107" s="7"/>
      <c r="C107" s="7"/>
      <c r="D107" s="6"/>
      <c r="E107" s="4"/>
      <c r="F107" s="26"/>
      <c r="G107" s="26"/>
      <c r="H107" s="26"/>
      <c r="I107" s="26"/>
      <c r="J107" s="26"/>
      <c r="K107" s="26"/>
      <c r="L107" s="26"/>
      <c r="M107" s="14"/>
    </row>
    <row r="108" spans="1:13" ht="32.25" customHeight="1">
      <c r="A108" s="39"/>
      <c r="B108" s="7"/>
      <c r="C108" s="7"/>
      <c r="D108" s="6"/>
      <c r="E108" s="4"/>
      <c r="F108" s="26"/>
      <c r="G108" s="26"/>
      <c r="H108" s="26"/>
      <c r="I108" s="26"/>
      <c r="J108" s="26"/>
      <c r="K108" s="26"/>
      <c r="L108" s="26"/>
      <c r="M108" s="14"/>
    </row>
    <row r="109" spans="1:13" ht="32.25" customHeight="1">
      <c r="A109" s="136" t="s">
        <v>138</v>
      </c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4"/>
    </row>
    <row r="110" spans="1:13" ht="32.25" customHeight="1">
      <c r="A110" s="38" t="s">
        <v>0</v>
      </c>
      <c r="B110" s="19" t="s">
        <v>1</v>
      </c>
      <c r="C110" s="19" t="s">
        <v>2</v>
      </c>
      <c r="D110" s="18" t="s">
        <v>13</v>
      </c>
      <c r="E110" s="19" t="s">
        <v>3</v>
      </c>
      <c r="F110" s="18" t="s">
        <v>28</v>
      </c>
      <c r="G110" s="18" t="s">
        <v>4</v>
      </c>
      <c r="H110" s="18" t="s">
        <v>6</v>
      </c>
      <c r="I110" s="18" t="s">
        <v>5</v>
      </c>
      <c r="J110" s="18" t="s">
        <v>31</v>
      </c>
      <c r="K110" s="18" t="s">
        <v>30</v>
      </c>
      <c r="L110" s="18" t="s">
        <v>29</v>
      </c>
      <c r="M110" s="14"/>
    </row>
    <row r="111" spans="1:13" ht="32.25" customHeight="1">
      <c r="A111" s="53">
        <v>46</v>
      </c>
      <c r="B111" s="25" t="s">
        <v>139</v>
      </c>
      <c r="C111" s="25" t="s">
        <v>61</v>
      </c>
      <c r="D111" s="53" t="s">
        <v>15</v>
      </c>
      <c r="E111" s="53" t="s">
        <v>42</v>
      </c>
      <c r="F111" s="69">
        <v>22000</v>
      </c>
      <c r="G111" s="69">
        <v>631.4</v>
      </c>
      <c r="H111" s="69">
        <v>0</v>
      </c>
      <c r="I111" s="69">
        <v>668.8</v>
      </c>
      <c r="J111" s="69">
        <v>3430.46</v>
      </c>
      <c r="K111" s="69">
        <f t="shared" ref="K111:K115" si="15">G111+H111+I111+J111</f>
        <v>4730.66</v>
      </c>
      <c r="L111" s="70">
        <f t="shared" ref="L111:L128" si="16">F111-K111</f>
        <v>17269.34</v>
      </c>
      <c r="M111" s="67"/>
    </row>
    <row r="112" spans="1:13" ht="32.25" customHeight="1">
      <c r="A112" s="53">
        <v>47</v>
      </c>
      <c r="B112" s="25" t="s">
        <v>140</v>
      </c>
      <c r="C112" s="25" t="s">
        <v>141</v>
      </c>
      <c r="D112" s="53" t="s">
        <v>14</v>
      </c>
      <c r="E112" s="53" t="s">
        <v>55</v>
      </c>
      <c r="F112" s="69">
        <v>75000</v>
      </c>
      <c r="G112" s="69">
        <v>2152.5</v>
      </c>
      <c r="H112" s="69">
        <v>6309.35</v>
      </c>
      <c r="I112" s="69">
        <v>2280</v>
      </c>
      <c r="J112" s="69">
        <v>8619.23</v>
      </c>
      <c r="K112" s="69">
        <f t="shared" si="15"/>
        <v>19361.080000000002</v>
      </c>
      <c r="L112" s="70">
        <f t="shared" si="16"/>
        <v>55638.92</v>
      </c>
      <c r="M112" s="67"/>
    </row>
    <row r="113" spans="1:13" ht="32.25" customHeight="1">
      <c r="A113" s="53">
        <v>48</v>
      </c>
      <c r="B113" s="25" t="s">
        <v>142</v>
      </c>
      <c r="C113" s="25" t="s">
        <v>61</v>
      </c>
      <c r="D113" s="53" t="s">
        <v>15</v>
      </c>
      <c r="E113" s="53" t="s">
        <v>143</v>
      </c>
      <c r="F113" s="69">
        <v>24000</v>
      </c>
      <c r="G113" s="69">
        <v>688.8</v>
      </c>
      <c r="H113" s="69">
        <v>0</v>
      </c>
      <c r="I113" s="69">
        <v>729.6</v>
      </c>
      <c r="J113" s="69">
        <v>8958.86</v>
      </c>
      <c r="K113" s="69">
        <f t="shared" si="15"/>
        <v>10377.26</v>
      </c>
      <c r="L113" s="70">
        <f t="shared" si="16"/>
        <v>13622.74</v>
      </c>
      <c r="M113" s="14"/>
    </row>
    <row r="114" spans="1:13" ht="32.25" customHeight="1">
      <c r="A114" s="53">
        <v>49</v>
      </c>
      <c r="B114" s="25" t="s">
        <v>144</v>
      </c>
      <c r="C114" s="25" t="s">
        <v>61</v>
      </c>
      <c r="D114" s="53" t="s">
        <v>15</v>
      </c>
      <c r="E114" s="53" t="s">
        <v>55</v>
      </c>
      <c r="F114" s="69">
        <v>22000</v>
      </c>
      <c r="G114" s="69">
        <v>631.4</v>
      </c>
      <c r="H114" s="69">
        <v>0</v>
      </c>
      <c r="I114" s="69">
        <v>668.8</v>
      </c>
      <c r="J114" s="69">
        <v>9258.01</v>
      </c>
      <c r="K114" s="69">
        <f t="shared" si="15"/>
        <v>10558.21</v>
      </c>
      <c r="L114" s="70">
        <f t="shared" si="16"/>
        <v>11441.79</v>
      </c>
      <c r="M114" s="67"/>
    </row>
    <row r="115" spans="1:13" ht="32.25" customHeight="1">
      <c r="A115" s="53">
        <v>50</v>
      </c>
      <c r="B115" s="25" t="s">
        <v>145</v>
      </c>
      <c r="C115" s="25" t="s">
        <v>61</v>
      </c>
      <c r="D115" s="53" t="s">
        <v>15</v>
      </c>
      <c r="E115" s="53" t="s">
        <v>42</v>
      </c>
      <c r="F115" s="69">
        <v>22000</v>
      </c>
      <c r="G115" s="69">
        <v>631.4</v>
      </c>
      <c r="H115" s="69">
        <v>0</v>
      </c>
      <c r="I115" s="69">
        <v>668.8</v>
      </c>
      <c r="J115" s="69">
        <v>7305.14</v>
      </c>
      <c r="K115" s="69">
        <f t="shared" si="15"/>
        <v>8605.34</v>
      </c>
      <c r="L115" s="70">
        <f t="shared" si="16"/>
        <v>13394.66</v>
      </c>
      <c r="M115" s="67"/>
    </row>
    <row r="116" spans="1:13" ht="32.25" customHeight="1">
      <c r="A116" s="53">
        <v>51</v>
      </c>
      <c r="B116" s="25" t="s">
        <v>146</v>
      </c>
      <c r="C116" s="25" t="s">
        <v>61</v>
      </c>
      <c r="D116" s="53" t="s">
        <v>15</v>
      </c>
      <c r="E116" s="53" t="s">
        <v>42</v>
      </c>
      <c r="F116" s="69">
        <v>22000</v>
      </c>
      <c r="G116" s="69">
        <v>631.4</v>
      </c>
      <c r="H116" s="69">
        <v>0</v>
      </c>
      <c r="I116" s="69">
        <v>668.8</v>
      </c>
      <c r="J116" s="69">
        <v>16292.81</v>
      </c>
      <c r="K116" s="69">
        <f>G116+H116+J116+I116</f>
        <v>17593.009999999998</v>
      </c>
      <c r="L116" s="70">
        <f t="shared" si="16"/>
        <v>4406.9900000000016</v>
      </c>
      <c r="M116" s="67"/>
    </row>
    <row r="117" spans="1:13" ht="32.25" customHeight="1">
      <c r="A117" s="53">
        <v>52</v>
      </c>
      <c r="B117" s="25" t="s">
        <v>147</v>
      </c>
      <c r="C117" s="25" t="s">
        <v>148</v>
      </c>
      <c r="D117" s="53" t="s">
        <v>15</v>
      </c>
      <c r="E117" s="53" t="s">
        <v>55</v>
      </c>
      <c r="F117" s="69">
        <v>22000</v>
      </c>
      <c r="G117" s="69">
        <v>631.4</v>
      </c>
      <c r="H117" s="69">
        <v>0</v>
      </c>
      <c r="I117" s="69">
        <v>668.8</v>
      </c>
      <c r="J117" s="69">
        <v>6178.12</v>
      </c>
      <c r="K117" s="69">
        <f>G117+H117+I117+J117</f>
        <v>7478.32</v>
      </c>
      <c r="L117" s="70">
        <f t="shared" si="16"/>
        <v>14521.68</v>
      </c>
      <c r="M117" s="67"/>
    </row>
    <row r="118" spans="1:13" ht="32.25" customHeight="1">
      <c r="A118" s="53">
        <v>53</v>
      </c>
      <c r="B118" s="25" t="s">
        <v>149</v>
      </c>
      <c r="C118" s="25" t="s">
        <v>150</v>
      </c>
      <c r="D118" s="53" t="s">
        <v>14</v>
      </c>
      <c r="E118" s="53" t="s">
        <v>55</v>
      </c>
      <c r="F118" s="69">
        <v>40000</v>
      </c>
      <c r="G118" s="69">
        <v>1148</v>
      </c>
      <c r="H118" s="69">
        <v>0</v>
      </c>
      <c r="I118" s="69">
        <v>1216</v>
      </c>
      <c r="J118" s="69">
        <v>4992.97</v>
      </c>
      <c r="K118" s="69">
        <f>G118+H118+I118+J118</f>
        <v>7356.97</v>
      </c>
      <c r="L118" s="70">
        <f t="shared" si="16"/>
        <v>32643.03</v>
      </c>
      <c r="M118" s="67"/>
    </row>
    <row r="119" spans="1:13" ht="32.25" customHeight="1">
      <c r="A119" s="53">
        <v>54</v>
      </c>
      <c r="B119" s="25" t="s">
        <v>151</v>
      </c>
      <c r="C119" s="25" t="s">
        <v>152</v>
      </c>
      <c r="D119" s="53" t="s">
        <v>14</v>
      </c>
      <c r="E119" s="53" t="s">
        <v>55</v>
      </c>
      <c r="F119" s="69">
        <v>26000</v>
      </c>
      <c r="G119" s="69">
        <v>746.2</v>
      </c>
      <c r="H119" s="69">
        <v>0</v>
      </c>
      <c r="I119" s="69">
        <v>790.4</v>
      </c>
      <c r="J119" s="69">
        <v>225</v>
      </c>
      <c r="K119" s="69">
        <f>G119+H119+I119+J119</f>
        <v>1761.6</v>
      </c>
      <c r="L119" s="70">
        <f t="shared" si="16"/>
        <v>24238.400000000001</v>
      </c>
      <c r="M119" s="67"/>
    </row>
    <row r="120" spans="1:13" ht="32.25" customHeight="1">
      <c r="A120" s="53">
        <v>55</v>
      </c>
      <c r="B120" s="25" t="s">
        <v>153</v>
      </c>
      <c r="C120" s="25" t="s">
        <v>61</v>
      </c>
      <c r="D120" s="53" t="s">
        <v>14</v>
      </c>
      <c r="E120" s="53" t="s">
        <v>55</v>
      </c>
      <c r="F120" s="69">
        <v>33500</v>
      </c>
      <c r="G120" s="69">
        <v>961.45</v>
      </c>
      <c r="H120" s="69">
        <v>0</v>
      </c>
      <c r="I120" s="69">
        <v>1018.4</v>
      </c>
      <c r="J120" s="69">
        <v>11188.37</v>
      </c>
      <c r="K120" s="69">
        <f>G120+H120+I120+J120</f>
        <v>13168.220000000001</v>
      </c>
      <c r="L120" s="70">
        <f t="shared" si="16"/>
        <v>20331.78</v>
      </c>
      <c r="M120" s="14"/>
    </row>
    <row r="121" spans="1:13" ht="32.25" customHeight="1">
      <c r="A121" s="53">
        <v>56</v>
      </c>
      <c r="B121" s="25" t="s">
        <v>154</v>
      </c>
      <c r="C121" s="25" t="s">
        <v>61</v>
      </c>
      <c r="D121" s="53" t="s">
        <v>14</v>
      </c>
      <c r="E121" s="53" t="s">
        <v>55</v>
      </c>
      <c r="F121" s="69">
        <v>22000</v>
      </c>
      <c r="G121" s="69">
        <v>631.4</v>
      </c>
      <c r="H121" s="69">
        <v>0</v>
      </c>
      <c r="I121" s="69">
        <v>668.8</v>
      </c>
      <c r="J121" s="69">
        <v>3330.46</v>
      </c>
      <c r="K121" s="69">
        <f>G121+H121+I121+J121</f>
        <v>4630.66</v>
      </c>
      <c r="L121" s="70">
        <f t="shared" si="16"/>
        <v>17369.34</v>
      </c>
      <c r="M121" s="67"/>
    </row>
    <row r="122" spans="1:13" ht="32.25" customHeight="1">
      <c r="A122" s="53">
        <v>57</v>
      </c>
      <c r="B122" s="25" t="s">
        <v>155</v>
      </c>
      <c r="C122" s="25" t="s">
        <v>156</v>
      </c>
      <c r="D122" s="53" t="s">
        <v>14</v>
      </c>
      <c r="E122" s="53" t="s">
        <v>55</v>
      </c>
      <c r="F122" s="69">
        <v>22000</v>
      </c>
      <c r="G122" s="69">
        <v>631.4</v>
      </c>
      <c r="H122" s="69">
        <v>0</v>
      </c>
      <c r="I122" s="69">
        <v>668.8</v>
      </c>
      <c r="J122" s="69">
        <v>8444.42</v>
      </c>
      <c r="K122" s="69">
        <f>G122+H122+J122+I122</f>
        <v>9744.619999999999</v>
      </c>
      <c r="L122" s="70">
        <f t="shared" si="16"/>
        <v>12255.380000000001</v>
      </c>
      <c r="M122" s="67"/>
    </row>
    <row r="123" spans="1:13" ht="32.25" customHeight="1">
      <c r="A123" s="53">
        <v>58</v>
      </c>
      <c r="B123" s="25" t="s">
        <v>157</v>
      </c>
      <c r="C123" s="25" t="s">
        <v>158</v>
      </c>
      <c r="D123" s="53" t="s">
        <v>14</v>
      </c>
      <c r="E123" s="53" t="s">
        <v>55</v>
      </c>
      <c r="F123" s="69">
        <v>24000</v>
      </c>
      <c r="G123" s="69">
        <v>688.8</v>
      </c>
      <c r="H123" s="69">
        <v>0</v>
      </c>
      <c r="I123" s="69">
        <v>729.6</v>
      </c>
      <c r="J123" s="69">
        <v>20081.16</v>
      </c>
      <c r="K123" s="69">
        <f t="shared" ref="K123:K128" si="17">G123+H123+I123+J123</f>
        <v>21499.56</v>
      </c>
      <c r="L123" s="70">
        <f t="shared" si="16"/>
        <v>2500.4399999999987</v>
      </c>
      <c r="M123" s="67"/>
    </row>
    <row r="124" spans="1:13" ht="32.25" customHeight="1">
      <c r="A124" s="53">
        <v>59</v>
      </c>
      <c r="B124" s="25" t="s">
        <v>159</v>
      </c>
      <c r="C124" s="25" t="s">
        <v>158</v>
      </c>
      <c r="D124" s="53" t="s">
        <v>14</v>
      </c>
      <c r="E124" s="53" t="s">
        <v>55</v>
      </c>
      <c r="F124" s="69">
        <v>24000</v>
      </c>
      <c r="G124" s="69">
        <v>688.8</v>
      </c>
      <c r="H124" s="69">
        <v>0</v>
      </c>
      <c r="I124" s="69">
        <v>729.6</v>
      </c>
      <c r="J124" s="69">
        <v>8132.9</v>
      </c>
      <c r="K124" s="69">
        <f t="shared" si="17"/>
        <v>9551.2999999999993</v>
      </c>
      <c r="L124" s="70">
        <f t="shared" si="16"/>
        <v>14448.7</v>
      </c>
      <c r="M124" s="67"/>
    </row>
    <row r="125" spans="1:13" ht="32.25" customHeight="1">
      <c r="A125" s="53">
        <v>60</v>
      </c>
      <c r="B125" s="25" t="s">
        <v>160</v>
      </c>
      <c r="C125" s="25" t="s">
        <v>61</v>
      </c>
      <c r="D125" s="53" t="s">
        <v>15</v>
      </c>
      <c r="E125" s="53" t="s">
        <v>55</v>
      </c>
      <c r="F125" s="69">
        <v>18000</v>
      </c>
      <c r="G125" s="69">
        <v>516.6</v>
      </c>
      <c r="H125" s="69">
        <v>0</v>
      </c>
      <c r="I125" s="69">
        <v>547.20000000000005</v>
      </c>
      <c r="J125" s="69">
        <v>12143.28</v>
      </c>
      <c r="K125" s="69">
        <f t="shared" si="17"/>
        <v>13207.080000000002</v>
      </c>
      <c r="L125" s="70">
        <f t="shared" si="16"/>
        <v>4792.9199999999983</v>
      </c>
      <c r="M125" s="67"/>
    </row>
    <row r="126" spans="1:13" ht="32.25" customHeight="1">
      <c r="A126" s="53">
        <v>61</v>
      </c>
      <c r="B126" s="25" t="s">
        <v>161</v>
      </c>
      <c r="C126" s="25" t="s">
        <v>129</v>
      </c>
      <c r="D126" s="53" t="s">
        <v>14</v>
      </c>
      <c r="E126" s="53" t="s">
        <v>55</v>
      </c>
      <c r="F126" s="69">
        <v>26000</v>
      </c>
      <c r="G126" s="69">
        <v>746.2</v>
      </c>
      <c r="H126" s="69">
        <v>0</v>
      </c>
      <c r="I126" s="69">
        <v>790.4</v>
      </c>
      <c r="J126" s="69">
        <v>7130.33</v>
      </c>
      <c r="K126" s="69">
        <f t="shared" si="17"/>
        <v>8666.93</v>
      </c>
      <c r="L126" s="70">
        <f t="shared" si="16"/>
        <v>17333.07</v>
      </c>
      <c r="M126" s="67"/>
    </row>
    <row r="127" spans="1:13" ht="32.25" customHeight="1">
      <c r="A127" s="53">
        <v>62</v>
      </c>
      <c r="B127" s="25" t="s">
        <v>162</v>
      </c>
      <c r="C127" s="25" t="s">
        <v>129</v>
      </c>
      <c r="D127" s="53" t="s">
        <v>14</v>
      </c>
      <c r="E127" s="53" t="s">
        <v>55</v>
      </c>
      <c r="F127" s="69">
        <v>26000</v>
      </c>
      <c r="G127" s="69">
        <v>746.2</v>
      </c>
      <c r="H127" s="69">
        <v>0</v>
      </c>
      <c r="I127" s="69">
        <v>790.4</v>
      </c>
      <c r="J127" s="69">
        <v>745</v>
      </c>
      <c r="K127" s="69">
        <f t="shared" si="17"/>
        <v>2281.6</v>
      </c>
      <c r="L127" s="70">
        <f t="shared" si="16"/>
        <v>23718.400000000001</v>
      </c>
      <c r="M127" s="14"/>
    </row>
    <row r="128" spans="1:13" ht="32.25" customHeight="1">
      <c r="A128" s="53">
        <v>63</v>
      </c>
      <c r="B128" s="25" t="s">
        <v>163</v>
      </c>
      <c r="C128" s="25" t="s">
        <v>129</v>
      </c>
      <c r="D128" s="53" t="s">
        <v>14</v>
      </c>
      <c r="E128" s="53" t="s">
        <v>55</v>
      </c>
      <c r="F128" s="69">
        <v>22000</v>
      </c>
      <c r="G128" s="69">
        <v>631.4</v>
      </c>
      <c r="H128" s="69">
        <v>0</v>
      </c>
      <c r="I128" s="69">
        <v>668.8</v>
      </c>
      <c r="J128" s="69">
        <v>3058.6</v>
      </c>
      <c r="K128" s="69">
        <f t="shared" si="17"/>
        <v>4358.7999999999993</v>
      </c>
      <c r="L128" s="70">
        <f t="shared" si="16"/>
        <v>17641.2</v>
      </c>
      <c r="M128" s="67"/>
    </row>
    <row r="129" spans="1:13" ht="32.25" customHeight="1">
      <c r="A129" s="53">
        <v>64</v>
      </c>
      <c r="B129" s="25" t="s">
        <v>241</v>
      </c>
      <c r="C129" s="21" t="s">
        <v>129</v>
      </c>
      <c r="D129" s="22" t="s">
        <v>14</v>
      </c>
      <c r="E129" s="22" t="s">
        <v>55</v>
      </c>
      <c r="F129" s="23">
        <v>26000</v>
      </c>
      <c r="G129" s="3">
        <v>746.2</v>
      </c>
      <c r="H129" s="89">
        <v>0</v>
      </c>
      <c r="I129" s="23">
        <v>790.4</v>
      </c>
      <c r="J129" s="3">
        <v>25</v>
      </c>
      <c r="K129" s="3">
        <f>G129+H129+I129+J129</f>
        <v>1561.6</v>
      </c>
      <c r="L129" s="8">
        <f>F129-K129</f>
        <v>24438.400000000001</v>
      </c>
      <c r="M129" s="14"/>
    </row>
    <row r="130" spans="1:13" ht="32.25" customHeight="1">
      <c r="A130" s="53">
        <v>65</v>
      </c>
      <c r="B130" s="21" t="s">
        <v>128</v>
      </c>
      <c r="C130" s="21" t="s">
        <v>110</v>
      </c>
      <c r="D130" s="22" t="s">
        <v>14</v>
      </c>
      <c r="E130" s="22" t="s">
        <v>55</v>
      </c>
      <c r="F130" s="23">
        <v>33500</v>
      </c>
      <c r="G130" s="23">
        <v>961.45</v>
      </c>
      <c r="H130" s="23">
        <v>0</v>
      </c>
      <c r="I130" s="23">
        <v>1018.4</v>
      </c>
      <c r="J130" s="23">
        <v>24984.98</v>
      </c>
      <c r="K130" s="23">
        <f>G130+H130+I130+J130</f>
        <v>26964.829999999998</v>
      </c>
      <c r="L130" s="23">
        <f>F130-K130</f>
        <v>6535.1700000000019</v>
      </c>
      <c r="M130" s="13"/>
    </row>
    <row r="131" spans="1:13" ht="32.25" customHeight="1">
      <c r="A131" s="53">
        <v>66</v>
      </c>
      <c r="B131" s="25" t="s">
        <v>60</v>
      </c>
      <c r="C131" s="21" t="s">
        <v>61</v>
      </c>
      <c r="D131" s="22" t="s">
        <v>15</v>
      </c>
      <c r="E131" s="22" t="s">
        <v>55</v>
      </c>
      <c r="F131" s="23">
        <v>22000</v>
      </c>
      <c r="G131" s="23">
        <v>631.4</v>
      </c>
      <c r="H131" s="23">
        <v>0</v>
      </c>
      <c r="I131" s="23">
        <v>668.8</v>
      </c>
      <c r="J131" s="23">
        <v>9127.0499999999993</v>
      </c>
      <c r="K131" s="23">
        <f>G131+H131+I131+J131</f>
        <v>10427.25</v>
      </c>
      <c r="L131" s="3">
        <f>F131-K131</f>
        <v>11572.75</v>
      </c>
      <c r="M131" s="68"/>
    </row>
    <row r="132" spans="1:13" ht="32.25" customHeight="1">
      <c r="A132" s="39" t="s">
        <v>24</v>
      </c>
      <c r="B132" s="5"/>
      <c r="C132" s="5"/>
      <c r="D132" s="6"/>
      <c r="E132" s="4"/>
      <c r="F132" s="101">
        <f>SUM(F111:F131)</f>
        <v>574000</v>
      </c>
      <c r="G132" s="101">
        <f t="shared" ref="G132:L132" si="18">SUM(G111:G131)</f>
        <v>16473.8</v>
      </c>
      <c r="H132" s="101">
        <f>+H111+H112+H113+H114+H115+H116+H117+H118+H119+H120+H121+H122+H123+H124+H125+H126+H127+H128+H129+H130+H131</f>
        <v>6309.35</v>
      </c>
      <c r="I132" s="101">
        <f t="shared" si="18"/>
        <v>17449.599999999999</v>
      </c>
      <c r="J132" s="101">
        <f>+J111+J112+J113+J114+J115+J116+J117+J118+J119+J120+J121+J122+J123+J124+J125+J126+J127+J128+J129+J130+J131</f>
        <v>173652.15</v>
      </c>
      <c r="K132" s="101">
        <f>+K111+K112+K113+K114+K115+K116+K117+K118+K119+K120+K121+K122+K123+K124+K125+K126+K127+K128+K129+K130+K131</f>
        <v>213884.9</v>
      </c>
      <c r="L132" s="26">
        <f t="shared" si="18"/>
        <v>360115.10000000009</v>
      </c>
      <c r="M132" s="67"/>
    </row>
    <row r="134" spans="1:13" ht="32.25" customHeight="1">
      <c r="A134" s="136" t="s">
        <v>165</v>
      </c>
      <c r="B134" s="136" t="s">
        <v>92</v>
      </c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4"/>
    </row>
    <row r="135" spans="1:13" ht="32.25" customHeight="1">
      <c r="A135" s="60" t="s">
        <v>0</v>
      </c>
      <c r="B135" s="27" t="s">
        <v>1</v>
      </c>
      <c r="C135" s="27" t="s">
        <v>2</v>
      </c>
      <c r="D135" s="61" t="s">
        <v>13</v>
      </c>
      <c r="E135" s="27" t="s">
        <v>3</v>
      </c>
      <c r="F135" s="61" t="s">
        <v>28</v>
      </c>
      <c r="G135" s="61" t="s">
        <v>4</v>
      </c>
      <c r="H135" s="61" t="s">
        <v>6</v>
      </c>
      <c r="I135" s="61" t="s">
        <v>5</v>
      </c>
      <c r="J135" s="61" t="s">
        <v>31</v>
      </c>
      <c r="K135" s="61" t="s">
        <v>30</v>
      </c>
      <c r="L135" s="61" t="s">
        <v>29</v>
      </c>
      <c r="M135" s="14"/>
    </row>
    <row r="136" spans="1:13" ht="32.25" customHeight="1">
      <c r="A136" s="75">
        <v>67</v>
      </c>
      <c r="B136" s="74" t="s">
        <v>166</v>
      </c>
      <c r="C136" s="21" t="s">
        <v>94</v>
      </c>
      <c r="D136" s="73" t="s">
        <v>15</v>
      </c>
      <c r="E136" s="22" t="s">
        <v>55</v>
      </c>
      <c r="F136" s="8">
        <v>33500</v>
      </c>
      <c r="G136" s="36">
        <v>961.45</v>
      </c>
      <c r="H136" s="89">
        <v>0</v>
      </c>
      <c r="I136" s="23">
        <v>1018.4</v>
      </c>
      <c r="J136" s="8">
        <v>12259.78</v>
      </c>
      <c r="K136" s="8">
        <f>G136+H136+I136+J136</f>
        <v>14239.630000000001</v>
      </c>
      <c r="L136" s="36">
        <f>F136-K136</f>
        <v>19260.37</v>
      </c>
      <c r="M136" s="14"/>
    </row>
    <row r="137" spans="1:13" ht="32.25" customHeight="1">
      <c r="A137" s="75">
        <v>68</v>
      </c>
      <c r="B137" s="21" t="s">
        <v>184</v>
      </c>
      <c r="C137" s="21" t="s">
        <v>183</v>
      </c>
      <c r="D137" s="22" t="s">
        <v>15</v>
      </c>
      <c r="E137" s="22" t="s">
        <v>55</v>
      </c>
      <c r="F137" s="36">
        <v>37000</v>
      </c>
      <c r="G137" s="36">
        <v>1061.9000000000001</v>
      </c>
      <c r="H137" s="36">
        <v>0</v>
      </c>
      <c r="I137" s="36">
        <v>1124.8</v>
      </c>
      <c r="J137" s="36">
        <v>25</v>
      </c>
      <c r="K137" s="36">
        <f>J137+I137+H137+G137</f>
        <v>2211.6999999999998</v>
      </c>
      <c r="L137" s="8">
        <f>F137-K137</f>
        <v>34788.300000000003</v>
      </c>
      <c r="M137" s="14"/>
    </row>
    <row r="138" spans="1:13" ht="32.25" customHeight="1">
      <c r="A138" s="75">
        <v>69</v>
      </c>
      <c r="B138" s="21" t="s">
        <v>123</v>
      </c>
      <c r="C138" s="21" t="s">
        <v>124</v>
      </c>
      <c r="D138" s="73" t="s">
        <v>14</v>
      </c>
      <c r="E138" s="22" t="s">
        <v>55</v>
      </c>
      <c r="F138" s="23">
        <v>60000</v>
      </c>
      <c r="G138" s="23">
        <v>1722</v>
      </c>
      <c r="H138" s="23">
        <v>3486.65</v>
      </c>
      <c r="I138" s="23">
        <v>1824</v>
      </c>
      <c r="J138" s="23">
        <v>9013.6200000000008</v>
      </c>
      <c r="K138" s="23">
        <f>G138+H138+I138+J138</f>
        <v>16046.27</v>
      </c>
      <c r="L138" s="23">
        <f>F138-K138</f>
        <v>43953.729999999996</v>
      </c>
      <c r="M138" s="13"/>
    </row>
    <row r="139" spans="1:13" ht="32.25" customHeight="1">
      <c r="A139" s="75">
        <v>70</v>
      </c>
      <c r="B139" s="21" t="s">
        <v>185</v>
      </c>
      <c r="C139" s="21" t="s">
        <v>110</v>
      </c>
      <c r="D139" s="22" t="s">
        <v>14</v>
      </c>
      <c r="E139" s="22" t="s">
        <v>55</v>
      </c>
      <c r="F139" s="36">
        <v>33500</v>
      </c>
      <c r="G139" s="36">
        <v>961.45</v>
      </c>
      <c r="H139" s="36">
        <v>0</v>
      </c>
      <c r="I139" s="36">
        <v>1018.4</v>
      </c>
      <c r="J139" s="36">
        <v>25</v>
      </c>
      <c r="K139" s="8">
        <f>G139+H139+I139+J139</f>
        <v>2004.85</v>
      </c>
      <c r="L139" s="36">
        <f>F139-K139</f>
        <v>31495.15</v>
      </c>
      <c r="M139" s="14"/>
    </row>
    <row r="140" spans="1:13" ht="32.25" customHeight="1">
      <c r="A140" s="39" t="s">
        <v>24</v>
      </c>
      <c r="B140" s="59"/>
      <c r="C140" s="59"/>
      <c r="D140" s="22"/>
      <c r="E140" s="22"/>
      <c r="F140" s="9">
        <f t="shared" ref="F140:L140" si="19">SUM(F136:F139)</f>
        <v>164000</v>
      </c>
      <c r="G140" s="62">
        <f t="shared" si="19"/>
        <v>4706.8</v>
      </c>
      <c r="H140" s="26">
        <f t="shared" si="19"/>
        <v>3486.65</v>
      </c>
      <c r="I140" s="9">
        <f t="shared" si="19"/>
        <v>4985.5999999999995</v>
      </c>
      <c r="J140" s="9">
        <f t="shared" si="19"/>
        <v>21323.4</v>
      </c>
      <c r="K140" s="9">
        <f t="shared" si="19"/>
        <v>34502.450000000004</v>
      </c>
      <c r="L140" s="9">
        <f t="shared" si="19"/>
        <v>129497.54999999999</v>
      </c>
      <c r="M140" s="14"/>
    </row>
    <row r="141" spans="1:13" ht="32.25" customHeight="1">
      <c r="A141" s="39"/>
      <c r="B141" s="59"/>
      <c r="C141" s="59"/>
      <c r="D141" s="22"/>
      <c r="E141" s="22"/>
      <c r="F141" s="9"/>
      <c r="G141" s="62"/>
      <c r="H141" s="26"/>
      <c r="I141" s="9"/>
      <c r="J141" s="9"/>
      <c r="K141" s="9"/>
      <c r="L141" s="9"/>
      <c r="M141" s="14"/>
    </row>
    <row r="142" spans="1:13" ht="32.25" customHeight="1">
      <c r="A142" s="39"/>
      <c r="B142" s="59"/>
      <c r="C142" s="59"/>
      <c r="D142" s="22"/>
      <c r="E142" s="22"/>
      <c r="F142" s="9"/>
      <c r="G142" s="62"/>
      <c r="H142" s="26"/>
      <c r="I142" s="9"/>
      <c r="J142" s="9"/>
      <c r="K142" s="9"/>
      <c r="L142" s="9"/>
      <c r="M142" s="14"/>
    </row>
    <row r="143" spans="1:13" ht="32.25" customHeight="1">
      <c r="A143" s="39"/>
      <c r="B143" s="59"/>
      <c r="C143" s="59"/>
      <c r="D143" s="22"/>
      <c r="E143" s="22"/>
      <c r="F143" s="9"/>
      <c r="G143" s="62"/>
      <c r="H143" s="26"/>
      <c r="I143" s="9"/>
      <c r="J143" s="9"/>
      <c r="K143" s="9"/>
      <c r="L143" s="9"/>
      <c r="M143" s="14"/>
    </row>
    <row r="144" spans="1:13" ht="32.25" customHeight="1">
      <c r="A144" s="136" t="s">
        <v>242</v>
      </c>
      <c r="B144" s="136" t="s">
        <v>92</v>
      </c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4"/>
    </row>
    <row r="145" spans="1:13" ht="32.25" customHeight="1">
      <c r="A145" s="18" t="s">
        <v>0</v>
      </c>
      <c r="B145" s="19" t="s">
        <v>1</v>
      </c>
      <c r="C145" s="19" t="s">
        <v>2</v>
      </c>
      <c r="D145" s="18" t="s">
        <v>13</v>
      </c>
      <c r="E145" s="19" t="s">
        <v>3</v>
      </c>
      <c r="F145" s="18" t="s">
        <v>28</v>
      </c>
      <c r="G145" s="18" t="s">
        <v>4</v>
      </c>
      <c r="H145" s="18" t="s">
        <v>6</v>
      </c>
      <c r="I145" s="18" t="s">
        <v>5</v>
      </c>
      <c r="J145" s="18" t="s">
        <v>31</v>
      </c>
      <c r="K145" s="18" t="s">
        <v>30</v>
      </c>
      <c r="L145" s="18" t="s">
        <v>29</v>
      </c>
      <c r="M145" s="14"/>
    </row>
    <row r="146" spans="1:13" ht="32.25" customHeight="1">
      <c r="A146" s="22">
        <v>71</v>
      </c>
      <c r="B146" s="21" t="s">
        <v>131</v>
      </c>
      <c r="C146" s="21" t="s">
        <v>110</v>
      </c>
      <c r="D146" s="22" t="s">
        <v>14</v>
      </c>
      <c r="E146" s="22" t="s">
        <v>55</v>
      </c>
      <c r="F146" s="8">
        <v>33500</v>
      </c>
      <c r="G146" s="8">
        <v>961.45</v>
      </c>
      <c r="H146" s="89">
        <v>0</v>
      </c>
      <c r="I146" s="23">
        <v>1018.4</v>
      </c>
      <c r="J146" s="8">
        <v>5781.68</v>
      </c>
      <c r="K146" s="8">
        <f>G146+H146+I146+J146</f>
        <v>7761.5300000000007</v>
      </c>
      <c r="L146" s="8">
        <f>+F146-K146</f>
        <v>25738.47</v>
      </c>
      <c r="M146" s="14"/>
    </row>
    <row r="147" spans="1:13" ht="32.25" customHeight="1">
      <c r="A147" s="4" t="s">
        <v>24</v>
      </c>
      <c r="B147" s="7"/>
      <c r="C147" s="7"/>
      <c r="D147" s="6"/>
      <c r="E147" s="4"/>
      <c r="F147" s="26">
        <f>+SUM(F146)</f>
        <v>33500</v>
      </c>
      <c r="G147" s="26">
        <f t="shared" ref="G147:L147" si="20">+SUM(G146)</f>
        <v>961.45</v>
      </c>
      <c r="H147" s="26">
        <f>H146</f>
        <v>0</v>
      </c>
      <c r="I147" s="26">
        <f t="shared" si="20"/>
        <v>1018.4</v>
      </c>
      <c r="J147" s="26">
        <f>+J146</f>
        <v>5781.68</v>
      </c>
      <c r="K147" s="26">
        <f>+K146</f>
        <v>7761.5300000000007</v>
      </c>
      <c r="L147" s="26">
        <f t="shared" si="20"/>
        <v>25738.47</v>
      </c>
      <c r="M147" s="14"/>
    </row>
    <row r="148" spans="1:13" ht="32.25" customHeight="1">
      <c r="A148" s="40" t="s">
        <v>37</v>
      </c>
      <c r="B148" s="27" t="s">
        <v>168</v>
      </c>
      <c r="C148" s="27" t="s">
        <v>16</v>
      </c>
      <c r="D148" s="27" t="s">
        <v>169</v>
      </c>
      <c r="E148" s="27" t="s">
        <v>18</v>
      </c>
      <c r="F148" s="27" t="s">
        <v>170</v>
      </c>
      <c r="G148" s="27" t="s">
        <v>171</v>
      </c>
      <c r="H148" s="27" t="s">
        <v>11</v>
      </c>
      <c r="I148" s="27" t="s">
        <v>172</v>
      </c>
      <c r="J148" s="27" t="s">
        <v>173</v>
      </c>
      <c r="K148" s="27"/>
      <c r="L148" s="27"/>
      <c r="M148" s="14"/>
    </row>
    <row r="149" spans="1:13" ht="32.25" customHeight="1">
      <c r="A149" s="136" t="s">
        <v>174</v>
      </c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4"/>
    </row>
    <row r="150" spans="1:13" ht="32.25" customHeight="1">
      <c r="A150" s="38" t="s">
        <v>0</v>
      </c>
      <c r="B150" s="19" t="s">
        <v>1</v>
      </c>
      <c r="C150" s="19" t="s">
        <v>2</v>
      </c>
      <c r="D150" s="18" t="s">
        <v>13</v>
      </c>
      <c r="E150" s="19" t="s">
        <v>3</v>
      </c>
      <c r="F150" s="18" t="s">
        <v>28</v>
      </c>
      <c r="G150" s="18" t="s">
        <v>4</v>
      </c>
      <c r="H150" s="18" t="s">
        <v>6</v>
      </c>
      <c r="I150" s="18" t="s">
        <v>5</v>
      </c>
      <c r="J150" s="18" t="s">
        <v>31</v>
      </c>
      <c r="K150" s="18" t="s">
        <v>30</v>
      </c>
      <c r="L150" s="18" t="s">
        <v>29</v>
      </c>
      <c r="M150" s="14"/>
    </row>
    <row r="151" spans="1:13" ht="32.25" customHeight="1">
      <c r="A151" s="75">
        <v>72</v>
      </c>
      <c r="B151" s="21" t="s">
        <v>175</v>
      </c>
      <c r="C151" s="21" t="s">
        <v>176</v>
      </c>
      <c r="D151" s="22" t="s">
        <v>15</v>
      </c>
      <c r="E151" s="22" t="s">
        <v>42</v>
      </c>
      <c r="F151" s="36">
        <v>122500</v>
      </c>
      <c r="G151" s="36">
        <v>3515.75</v>
      </c>
      <c r="H151" s="36">
        <v>17398</v>
      </c>
      <c r="I151" s="36">
        <v>3724</v>
      </c>
      <c r="J151" s="36">
        <v>18899.34</v>
      </c>
      <c r="K151" s="36">
        <f>J151+I151+H151+G151</f>
        <v>43537.09</v>
      </c>
      <c r="L151" s="36">
        <f>F151-K151</f>
        <v>78962.91</v>
      </c>
      <c r="M151" s="14"/>
    </row>
    <row r="152" spans="1:13" ht="32.25" customHeight="1">
      <c r="A152" s="75">
        <v>73</v>
      </c>
      <c r="B152" s="21" t="s">
        <v>177</v>
      </c>
      <c r="C152" s="21" t="s">
        <v>32</v>
      </c>
      <c r="D152" s="22" t="s">
        <v>15</v>
      </c>
      <c r="E152" s="22" t="s">
        <v>42</v>
      </c>
      <c r="F152" s="36">
        <v>60000</v>
      </c>
      <c r="G152" s="36">
        <v>1722</v>
      </c>
      <c r="H152" s="36">
        <v>3486.65</v>
      </c>
      <c r="I152" s="36">
        <v>1824</v>
      </c>
      <c r="J152" s="36">
        <v>1525</v>
      </c>
      <c r="K152" s="36">
        <f>J152+I152+H152+G152</f>
        <v>8557.65</v>
      </c>
      <c r="L152" s="36">
        <f>F152-K152</f>
        <v>51442.35</v>
      </c>
      <c r="M152" s="14"/>
    </row>
    <row r="153" spans="1:13" ht="32.25" customHeight="1">
      <c r="A153" s="75">
        <v>74</v>
      </c>
      <c r="B153" s="21" t="s">
        <v>180</v>
      </c>
      <c r="C153" s="21" t="s">
        <v>94</v>
      </c>
      <c r="D153" s="22" t="s">
        <v>15</v>
      </c>
      <c r="E153" s="22" t="s">
        <v>55</v>
      </c>
      <c r="F153" s="36">
        <v>35000</v>
      </c>
      <c r="G153" s="36">
        <v>1004.5</v>
      </c>
      <c r="H153" s="36">
        <v>0</v>
      </c>
      <c r="I153" s="36">
        <v>1064</v>
      </c>
      <c r="J153" s="36">
        <v>8822.0400000000009</v>
      </c>
      <c r="K153" s="36">
        <f>J153+I153+H153+G153</f>
        <v>10890.54</v>
      </c>
      <c r="L153" s="36">
        <f>F153-K153</f>
        <v>24109.46</v>
      </c>
      <c r="M153" s="14"/>
    </row>
    <row r="154" spans="1:13" ht="32.25" customHeight="1">
      <c r="A154" s="39" t="s">
        <v>24</v>
      </c>
      <c r="B154" s="7"/>
      <c r="C154" s="7"/>
      <c r="D154" s="6"/>
      <c r="E154" s="4"/>
      <c r="F154" s="26">
        <f>SUM(F151:F153)</f>
        <v>217500</v>
      </c>
      <c r="G154" s="26">
        <f>SUM(G151:G153)</f>
        <v>6242.25</v>
      </c>
      <c r="H154" s="26">
        <f>SUM(H151:H152)</f>
        <v>20884.650000000001</v>
      </c>
      <c r="I154" s="26">
        <f>SUM(I151:I153)</f>
        <v>6612</v>
      </c>
      <c r="J154" s="26">
        <f>SUM(J151:J153)</f>
        <v>29246.38</v>
      </c>
      <c r="K154" s="26">
        <f>SUM(K151:K153)</f>
        <v>62985.279999999999</v>
      </c>
      <c r="L154" s="26">
        <f>SUM(L151:L153)</f>
        <v>154514.72</v>
      </c>
      <c r="M154" s="14"/>
    </row>
    <row r="155" spans="1:13" ht="32.25" customHeight="1">
      <c r="A155" s="136" t="s">
        <v>181</v>
      </c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4"/>
    </row>
    <row r="156" spans="1:13" ht="32.25" customHeight="1">
      <c r="A156" s="38" t="s">
        <v>0</v>
      </c>
      <c r="B156" s="19" t="s">
        <v>1</v>
      </c>
      <c r="C156" s="19" t="s">
        <v>2</v>
      </c>
      <c r="D156" s="18" t="s">
        <v>13</v>
      </c>
      <c r="E156" s="19" t="s">
        <v>3</v>
      </c>
      <c r="F156" s="18" t="s">
        <v>28</v>
      </c>
      <c r="G156" s="18" t="s">
        <v>4</v>
      </c>
      <c r="H156" s="18" t="s">
        <v>6</v>
      </c>
      <c r="I156" s="18" t="s">
        <v>5</v>
      </c>
      <c r="J156" s="18" t="s">
        <v>31</v>
      </c>
      <c r="K156" s="18" t="s">
        <v>30</v>
      </c>
      <c r="L156" s="18" t="s">
        <v>29</v>
      </c>
      <c r="M156" s="14"/>
    </row>
    <row r="157" spans="1:13" ht="32.25" customHeight="1">
      <c r="A157" s="53">
        <v>75</v>
      </c>
      <c r="B157" s="25" t="s">
        <v>211</v>
      </c>
      <c r="C157" s="25" t="s">
        <v>212</v>
      </c>
      <c r="D157" s="75" t="s">
        <v>15</v>
      </c>
      <c r="E157" s="53" t="s">
        <v>55</v>
      </c>
      <c r="F157" s="69">
        <f>70000+52500</f>
        <v>122500</v>
      </c>
      <c r="G157" s="69">
        <f>2009+1506.75</f>
        <v>3515.75</v>
      </c>
      <c r="H157" s="69">
        <f>4984.49+11933.56</f>
        <v>16918.05</v>
      </c>
      <c r="I157" s="69">
        <f>2128+1596</f>
        <v>3724</v>
      </c>
      <c r="J157" s="69">
        <v>9944.7800000000007</v>
      </c>
      <c r="K157" s="69">
        <f>G157+H157+I157+J157</f>
        <v>34102.58</v>
      </c>
      <c r="L157" s="69">
        <f>F157-K157</f>
        <v>88397.42</v>
      </c>
      <c r="M157" s="14"/>
    </row>
    <row r="158" spans="1:13" ht="39" customHeight="1">
      <c r="A158" s="75">
        <v>76</v>
      </c>
      <c r="B158" s="25" t="s">
        <v>178</v>
      </c>
      <c r="C158" s="25" t="s">
        <v>179</v>
      </c>
      <c r="D158" s="53" t="s">
        <v>15</v>
      </c>
      <c r="E158" s="53" t="s">
        <v>42</v>
      </c>
      <c r="F158" s="72">
        <v>60000</v>
      </c>
      <c r="G158" s="72">
        <v>1722</v>
      </c>
      <c r="H158" s="72">
        <v>3486.65</v>
      </c>
      <c r="I158" s="72">
        <v>1824</v>
      </c>
      <c r="J158" s="72">
        <v>18886.669999999998</v>
      </c>
      <c r="K158" s="72">
        <f>J158+I158+H158+G158</f>
        <v>25919.32</v>
      </c>
      <c r="L158" s="72">
        <f>F158-K158</f>
        <v>34080.68</v>
      </c>
      <c r="M158" s="14"/>
    </row>
    <row r="159" spans="1:13" ht="32.25" customHeight="1">
      <c r="A159" s="75">
        <v>77</v>
      </c>
      <c r="B159" s="25" t="s">
        <v>187</v>
      </c>
      <c r="C159" s="25" t="s">
        <v>188</v>
      </c>
      <c r="D159" s="53" t="s">
        <v>15</v>
      </c>
      <c r="E159" s="53" t="s">
        <v>42</v>
      </c>
      <c r="F159" s="72">
        <v>73000</v>
      </c>
      <c r="G159" s="72">
        <v>2095.1</v>
      </c>
      <c r="H159" s="72">
        <v>5932.99</v>
      </c>
      <c r="I159" s="72">
        <v>2219.1999999999998</v>
      </c>
      <c r="J159" s="72">
        <v>26083.74</v>
      </c>
      <c r="K159" s="110">
        <f>G159+H159+I159+J159</f>
        <v>36331.03</v>
      </c>
      <c r="L159" s="72">
        <f>F159-K159</f>
        <v>36668.97</v>
      </c>
      <c r="M159" s="14"/>
    </row>
    <row r="160" spans="1:13" ht="32.25" customHeight="1">
      <c r="A160" s="75">
        <v>78</v>
      </c>
      <c r="B160" s="116" t="s">
        <v>189</v>
      </c>
      <c r="C160" s="117" t="s">
        <v>110</v>
      </c>
      <c r="D160" s="118" t="s">
        <v>15</v>
      </c>
      <c r="E160" s="53" t="s">
        <v>55</v>
      </c>
      <c r="F160" s="72">
        <v>35000</v>
      </c>
      <c r="G160" s="72">
        <v>1004.5</v>
      </c>
      <c r="H160" s="72">
        <v>0</v>
      </c>
      <c r="I160" s="72">
        <v>1064</v>
      </c>
      <c r="J160" s="72">
        <v>8332.9</v>
      </c>
      <c r="K160" s="110">
        <f>J160+I160+H160+G160</f>
        <v>10401.4</v>
      </c>
      <c r="L160" s="72">
        <f t="shared" ref="L160" si="21">F160-K160</f>
        <v>24598.6</v>
      </c>
      <c r="M160" s="14"/>
    </row>
    <row r="161" spans="1:13" ht="32.25" customHeight="1">
      <c r="A161" s="39" t="s">
        <v>24</v>
      </c>
      <c r="B161" s="117"/>
      <c r="C161" s="117"/>
      <c r="D161" s="118"/>
      <c r="E161" s="119"/>
      <c r="F161" s="100">
        <f t="shared" ref="F161:L161" si="22">SUM(F157:F160)</f>
        <v>290500</v>
      </c>
      <c r="G161" s="100">
        <f t="shared" si="22"/>
        <v>8337.35</v>
      </c>
      <c r="H161" s="100">
        <f t="shared" si="22"/>
        <v>26337.690000000002</v>
      </c>
      <c r="I161" s="100">
        <f t="shared" si="22"/>
        <v>8831.2000000000007</v>
      </c>
      <c r="J161" s="100">
        <f t="shared" si="22"/>
        <v>63248.090000000004</v>
      </c>
      <c r="K161" s="100">
        <f t="shared" si="22"/>
        <v>106754.32999999999</v>
      </c>
      <c r="L161" s="100">
        <f t="shared" si="22"/>
        <v>183745.67</v>
      </c>
      <c r="M161" s="14"/>
    </row>
    <row r="162" spans="1:13" ht="32.25" customHeight="1">
      <c r="A162" s="136" t="s">
        <v>190</v>
      </c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4"/>
    </row>
    <row r="163" spans="1:13" ht="32.25" customHeight="1">
      <c r="A163" s="38" t="s">
        <v>0</v>
      </c>
      <c r="B163" s="19" t="s">
        <v>1</v>
      </c>
      <c r="C163" s="19" t="s">
        <v>2</v>
      </c>
      <c r="D163" s="18" t="s">
        <v>13</v>
      </c>
      <c r="E163" s="19" t="s">
        <v>3</v>
      </c>
      <c r="F163" s="18" t="s">
        <v>28</v>
      </c>
      <c r="G163" s="18" t="s">
        <v>4</v>
      </c>
      <c r="H163" s="18" t="s">
        <v>6</v>
      </c>
      <c r="I163" s="18" t="s">
        <v>5</v>
      </c>
      <c r="J163" s="18" t="s">
        <v>31</v>
      </c>
      <c r="K163" s="18" t="s">
        <v>30</v>
      </c>
      <c r="L163" s="18" t="s">
        <v>29</v>
      </c>
      <c r="M163" s="14"/>
    </row>
    <row r="164" spans="1:13" ht="43.5" customHeight="1">
      <c r="A164" s="53">
        <v>79</v>
      </c>
      <c r="B164" s="37" t="s">
        <v>191</v>
      </c>
      <c r="C164" s="37" t="s">
        <v>192</v>
      </c>
      <c r="D164" s="22" t="s">
        <v>15</v>
      </c>
      <c r="E164" s="24" t="s">
        <v>42</v>
      </c>
      <c r="F164" s="36">
        <v>60000</v>
      </c>
      <c r="G164" s="36">
        <f>F164*0.0287</f>
        <v>1722</v>
      </c>
      <c r="H164" s="36">
        <v>2718.74</v>
      </c>
      <c r="I164" s="36">
        <f>IF(F164&lt;75829.93,F164*0.0304,2305.23)</f>
        <v>1824</v>
      </c>
      <c r="J164" s="36">
        <v>16086.41</v>
      </c>
      <c r="K164" s="36">
        <f>G164+H164+I164+J164</f>
        <v>22351.15</v>
      </c>
      <c r="L164" s="36">
        <f>+F164-K164</f>
        <v>37648.85</v>
      </c>
      <c r="M164" s="14"/>
    </row>
    <row r="165" spans="1:13" ht="32.25" customHeight="1">
      <c r="A165" s="53">
        <v>80</v>
      </c>
      <c r="B165" s="21" t="s">
        <v>193</v>
      </c>
      <c r="C165" s="21" t="s">
        <v>110</v>
      </c>
      <c r="D165" s="22" t="s">
        <v>15</v>
      </c>
      <c r="E165" s="22" t="s">
        <v>55</v>
      </c>
      <c r="F165" s="36">
        <f>37000+18000</f>
        <v>55000</v>
      </c>
      <c r="G165" s="36">
        <f>516.6+1061.9</f>
        <v>1578.5</v>
      </c>
      <c r="H165" s="36">
        <v>2559.67</v>
      </c>
      <c r="I165" s="36">
        <f>1124.8+547.2</f>
        <v>1672</v>
      </c>
      <c r="J165" s="36">
        <v>11886.85</v>
      </c>
      <c r="K165" s="8">
        <f>G165+H165+I165+J165</f>
        <v>17697.02</v>
      </c>
      <c r="L165" s="36">
        <f>+F165-K165</f>
        <v>37302.979999999996</v>
      </c>
      <c r="M165" s="14"/>
    </row>
    <row r="166" spans="1:13" ht="32.25" customHeight="1">
      <c r="A166" s="39" t="s">
        <v>24</v>
      </c>
      <c r="B166" s="49"/>
      <c r="C166" s="49"/>
      <c r="D166" s="50"/>
      <c r="E166" s="51"/>
      <c r="F166" s="26">
        <f>SUM(F164:F165)</f>
        <v>115000</v>
      </c>
      <c r="G166" s="63">
        <f>SUM(G164:G165)</f>
        <v>3300.5</v>
      </c>
      <c r="H166" s="26">
        <f>+H164+H165</f>
        <v>5278.41</v>
      </c>
      <c r="I166" s="26">
        <f>SUM(I164:I165)</f>
        <v>3496</v>
      </c>
      <c r="J166" s="26">
        <f>+J164+J165</f>
        <v>27973.260000000002</v>
      </c>
      <c r="K166" s="26">
        <f>+K164+K165</f>
        <v>40048.17</v>
      </c>
      <c r="L166" s="26">
        <f>F166-K166</f>
        <v>74951.83</v>
      </c>
    </row>
    <row r="167" spans="1:13" ht="32.25" customHeight="1">
      <c r="A167" s="136" t="s">
        <v>194</v>
      </c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4"/>
    </row>
    <row r="168" spans="1:13" ht="32.25" customHeight="1">
      <c r="A168" s="38" t="s">
        <v>0</v>
      </c>
      <c r="B168" s="19" t="s">
        <v>1</v>
      </c>
      <c r="C168" s="19" t="s">
        <v>2</v>
      </c>
      <c r="D168" s="18" t="s">
        <v>13</v>
      </c>
      <c r="E168" s="19" t="s">
        <v>3</v>
      </c>
      <c r="F168" s="18" t="s">
        <v>28</v>
      </c>
      <c r="G168" s="18" t="s">
        <v>4</v>
      </c>
      <c r="H168" s="18" t="s">
        <v>6</v>
      </c>
      <c r="I168" s="18" t="s">
        <v>5</v>
      </c>
      <c r="J168" s="18" t="s">
        <v>31</v>
      </c>
      <c r="K168" s="18" t="s">
        <v>30</v>
      </c>
      <c r="L168" s="18" t="s">
        <v>29</v>
      </c>
      <c r="M168" s="14"/>
    </row>
    <row r="169" spans="1:13" ht="32.25" customHeight="1">
      <c r="A169" s="71" t="s">
        <v>254</v>
      </c>
      <c r="B169" s="21" t="s">
        <v>195</v>
      </c>
      <c r="C169" s="21" t="s">
        <v>12</v>
      </c>
      <c r="D169" s="22" t="s">
        <v>15</v>
      </c>
      <c r="E169" s="22" t="s">
        <v>42</v>
      </c>
      <c r="F169" s="72">
        <v>60000</v>
      </c>
      <c r="G169" s="72">
        <v>1722</v>
      </c>
      <c r="H169" s="72">
        <v>3486.65</v>
      </c>
      <c r="I169" s="72">
        <v>1824</v>
      </c>
      <c r="J169" s="72">
        <v>325</v>
      </c>
      <c r="K169" s="72">
        <f>J169+I169+H169+G169</f>
        <v>7357.65</v>
      </c>
      <c r="L169" s="72">
        <f>F169-K169</f>
        <v>52642.35</v>
      </c>
      <c r="M169" s="14"/>
    </row>
    <row r="170" spans="1:13" ht="32.25" customHeight="1">
      <c r="A170" s="71" t="s">
        <v>245</v>
      </c>
      <c r="B170" s="21" t="s">
        <v>196</v>
      </c>
      <c r="C170" s="21" t="s">
        <v>12</v>
      </c>
      <c r="D170" s="22" t="s">
        <v>14</v>
      </c>
      <c r="E170" s="22" t="s">
        <v>42</v>
      </c>
      <c r="F170" s="72">
        <v>60000</v>
      </c>
      <c r="G170" s="72">
        <v>1722</v>
      </c>
      <c r="H170" s="72">
        <v>2718.74</v>
      </c>
      <c r="I170" s="72">
        <v>1824</v>
      </c>
      <c r="J170" s="72">
        <v>16210.28</v>
      </c>
      <c r="K170" s="72">
        <f>G170+J170+I170+H170</f>
        <v>22475.019999999997</v>
      </c>
      <c r="L170" s="72">
        <f t="shared" ref="L170:L177" si="23">F170-K170</f>
        <v>37524.980000000003</v>
      </c>
      <c r="M170" s="14"/>
    </row>
    <row r="171" spans="1:13" ht="32.25" customHeight="1">
      <c r="A171" s="71" t="s">
        <v>238</v>
      </c>
      <c r="B171" s="21" t="s">
        <v>197</v>
      </c>
      <c r="C171" s="21" t="s">
        <v>198</v>
      </c>
      <c r="D171" s="22" t="s">
        <v>15</v>
      </c>
      <c r="E171" s="22" t="s">
        <v>42</v>
      </c>
      <c r="F171" s="72">
        <v>55000</v>
      </c>
      <c r="G171" s="72">
        <f>961.45+617.05</f>
        <v>1578.5</v>
      </c>
      <c r="H171" s="72">
        <v>0</v>
      </c>
      <c r="I171" s="72">
        <f>653.6+1018.4</f>
        <v>1672</v>
      </c>
      <c r="J171" s="72">
        <v>3964.56</v>
      </c>
      <c r="K171" s="72">
        <f>J171+I171+H171+G171</f>
        <v>7215.0599999999995</v>
      </c>
      <c r="L171" s="72">
        <f t="shared" si="23"/>
        <v>47784.94</v>
      </c>
      <c r="M171" s="14"/>
    </row>
    <row r="172" spans="1:13" ht="32.25" customHeight="1">
      <c r="A172" s="71" t="s">
        <v>239</v>
      </c>
      <c r="B172" s="21" t="s">
        <v>199</v>
      </c>
      <c r="C172" s="21" t="s">
        <v>12</v>
      </c>
      <c r="D172" s="22" t="s">
        <v>14</v>
      </c>
      <c r="E172" s="22" t="s">
        <v>55</v>
      </c>
      <c r="F172" s="72">
        <v>60000</v>
      </c>
      <c r="G172" s="72">
        <v>1722</v>
      </c>
      <c r="H172" s="72">
        <v>3486.65</v>
      </c>
      <c r="I172" s="72">
        <v>1824</v>
      </c>
      <c r="J172" s="72">
        <v>1525</v>
      </c>
      <c r="K172" s="72">
        <f>J172+I172+H172+G172</f>
        <v>8557.65</v>
      </c>
      <c r="L172" s="72">
        <f t="shared" si="23"/>
        <v>51442.35</v>
      </c>
      <c r="M172" s="14"/>
    </row>
    <row r="173" spans="1:13" ht="32.25" customHeight="1">
      <c r="A173" s="71" t="s">
        <v>240</v>
      </c>
      <c r="B173" s="25" t="s">
        <v>200</v>
      </c>
      <c r="C173" s="21" t="s">
        <v>201</v>
      </c>
      <c r="D173" s="22" t="s">
        <v>14</v>
      </c>
      <c r="E173" s="22" t="s">
        <v>55</v>
      </c>
      <c r="F173" s="72">
        <f>55000+67500</f>
        <v>122500</v>
      </c>
      <c r="G173" s="72">
        <f>1578+1937.75</f>
        <v>3515.75</v>
      </c>
      <c r="H173" s="72">
        <f>2559.67+14838.33</f>
        <v>17398</v>
      </c>
      <c r="I173" s="72">
        <f>1672+2052</f>
        <v>3724</v>
      </c>
      <c r="J173" s="72">
        <v>22242.39</v>
      </c>
      <c r="K173" s="72">
        <f>J173+I173+H173+G173</f>
        <v>46880.14</v>
      </c>
      <c r="L173" s="72">
        <f t="shared" si="23"/>
        <v>75619.86</v>
      </c>
      <c r="M173" s="14"/>
    </row>
    <row r="174" spans="1:13" ht="32.25" customHeight="1">
      <c r="A174" s="71" t="s">
        <v>236</v>
      </c>
      <c r="B174" s="21" t="s">
        <v>202</v>
      </c>
      <c r="C174" s="21" t="s">
        <v>203</v>
      </c>
      <c r="D174" s="22" t="s">
        <v>14</v>
      </c>
      <c r="E174" s="22" t="s">
        <v>55</v>
      </c>
      <c r="F174" s="72">
        <v>35000</v>
      </c>
      <c r="G174" s="72">
        <v>1004.5</v>
      </c>
      <c r="H174" s="72">
        <v>0</v>
      </c>
      <c r="I174" s="72">
        <v>1064</v>
      </c>
      <c r="J174" s="72">
        <v>25</v>
      </c>
      <c r="K174" s="72">
        <f t="shared" ref="K174:K175" si="24">J174+I174+H174+G174</f>
        <v>2093.5</v>
      </c>
      <c r="L174" s="72">
        <f t="shared" si="23"/>
        <v>32906.5</v>
      </c>
      <c r="M174" s="14"/>
    </row>
    <row r="175" spans="1:13" ht="32.25" customHeight="1">
      <c r="A175" s="71" t="s">
        <v>235</v>
      </c>
      <c r="B175" s="21" t="s">
        <v>205</v>
      </c>
      <c r="C175" s="21" t="s">
        <v>12</v>
      </c>
      <c r="D175" s="22" t="s">
        <v>14</v>
      </c>
      <c r="E175" s="22" t="s">
        <v>42</v>
      </c>
      <c r="F175" s="36">
        <v>60000</v>
      </c>
      <c r="G175" s="36">
        <v>1722</v>
      </c>
      <c r="H175" s="36">
        <v>3102.69</v>
      </c>
      <c r="I175" s="36">
        <v>1824</v>
      </c>
      <c r="J175" s="36">
        <v>2244.7800000000002</v>
      </c>
      <c r="K175" s="36">
        <f t="shared" si="24"/>
        <v>8893.4700000000012</v>
      </c>
      <c r="L175" s="36">
        <f t="shared" si="23"/>
        <v>51106.53</v>
      </c>
      <c r="M175" s="14"/>
    </row>
    <row r="176" spans="1:13" ht="32.25" customHeight="1">
      <c r="A176" s="71" t="s">
        <v>230</v>
      </c>
      <c r="B176" s="21" t="s">
        <v>127</v>
      </c>
      <c r="C176" s="21" t="s">
        <v>126</v>
      </c>
      <c r="D176" s="73" t="s">
        <v>15</v>
      </c>
      <c r="E176" s="22" t="s">
        <v>55</v>
      </c>
      <c r="F176" s="23">
        <v>37000</v>
      </c>
      <c r="G176" s="23">
        <v>1061.9000000000001</v>
      </c>
      <c r="H176" s="23">
        <v>0</v>
      </c>
      <c r="I176" s="23">
        <v>1124.8</v>
      </c>
      <c r="J176" s="23">
        <v>14214.03</v>
      </c>
      <c r="K176" s="23">
        <f>G176+H176+I176+J176</f>
        <v>16400.73</v>
      </c>
      <c r="L176" s="23">
        <f t="shared" si="23"/>
        <v>20599.27</v>
      </c>
      <c r="M176" s="14"/>
    </row>
    <row r="177" spans="1:17" ht="32.25" customHeight="1">
      <c r="A177" s="71" t="s">
        <v>229</v>
      </c>
      <c r="B177" s="21" t="s">
        <v>228</v>
      </c>
      <c r="C177" s="21" t="s">
        <v>110</v>
      </c>
      <c r="D177" s="73" t="s">
        <v>15</v>
      </c>
      <c r="E177" s="22" t="s">
        <v>55</v>
      </c>
      <c r="F177" s="23">
        <v>33500</v>
      </c>
      <c r="G177" s="23">
        <v>961.45</v>
      </c>
      <c r="H177" s="23">
        <v>0</v>
      </c>
      <c r="I177" s="23">
        <v>1018.4</v>
      </c>
      <c r="J177" s="23">
        <v>695</v>
      </c>
      <c r="K177" s="23">
        <f>G177+H177+I177+J177</f>
        <v>2674.85</v>
      </c>
      <c r="L177" s="23">
        <f t="shared" si="23"/>
        <v>30825.15</v>
      </c>
      <c r="M177" s="13"/>
    </row>
    <row r="178" spans="1:17" ht="32.25" customHeight="1">
      <c r="A178" s="41" t="s">
        <v>24</v>
      </c>
      <c r="B178" s="76"/>
      <c r="C178" s="76"/>
      <c r="D178" s="64"/>
      <c r="E178" s="65"/>
      <c r="F178" s="100">
        <f>SUM(F169:F177)</f>
        <v>523000</v>
      </c>
      <c r="G178" s="12">
        <f>SUM(G169:G177)</f>
        <v>15010.1</v>
      </c>
      <c r="H178" s="100">
        <f>+H169+H170+H171+H172+H173+H174+H196+H175+H176+H177</f>
        <v>30192.73</v>
      </c>
      <c r="I178" s="100">
        <f>SUM(I169:I177)</f>
        <v>15899.199999999999</v>
      </c>
      <c r="J178" s="100">
        <f>SUM(J169:J177)</f>
        <v>61446.039999999994</v>
      </c>
      <c r="K178" s="100">
        <f>SUM(K169:K177)</f>
        <v>122548.06999999999</v>
      </c>
      <c r="L178" s="100">
        <f>SUM(L169:L177)</f>
        <v>400451.93000000005</v>
      </c>
      <c r="M178" s="14"/>
    </row>
    <row r="179" spans="1:17" ht="32.25" customHeight="1">
      <c r="A179" s="140" t="s">
        <v>206</v>
      </c>
      <c r="B179" s="140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"/>
    </row>
    <row r="180" spans="1:17" ht="32.25" customHeight="1">
      <c r="A180" s="42" t="s">
        <v>0</v>
      </c>
      <c r="B180" s="29" t="s">
        <v>1</v>
      </c>
      <c r="C180" s="29" t="s">
        <v>2</v>
      </c>
      <c r="D180" s="28" t="s">
        <v>13</v>
      </c>
      <c r="E180" s="29" t="s">
        <v>3</v>
      </c>
      <c r="F180" s="28" t="s">
        <v>28</v>
      </c>
      <c r="G180" s="28" t="s">
        <v>4</v>
      </c>
      <c r="H180" s="28" t="s">
        <v>6</v>
      </c>
      <c r="I180" s="28" t="s">
        <v>5</v>
      </c>
      <c r="J180" s="28" t="s">
        <v>31</v>
      </c>
      <c r="K180" s="28" t="s">
        <v>30</v>
      </c>
      <c r="L180" s="28" t="s">
        <v>29</v>
      </c>
      <c r="M180" s="14"/>
    </row>
    <row r="181" spans="1:17" ht="32.25" customHeight="1">
      <c r="A181" s="75">
        <v>90</v>
      </c>
      <c r="B181" s="25" t="s">
        <v>80</v>
      </c>
      <c r="C181" s="25" t="s">
        <v>81</v>
      </c>
      <c r="D181" s="75" t="s">
        <v>15</v>
      </c>
      <c r="E181" s="53" t="s">
        <v>42</v>
      </c>
      <c r="F181" s="69">
        <v>100000</v>
      </c>
      <c r="G181" s="69">
        <v>2870</v>
      </c>
      <c r="H181" s="69">
        <v>12105.44</v>
      </c>
      <c r="I181" s="69">
        <v>3040</v>
      </c>
      <c r="J181" s="69">
        <v>44821.33</v>
      </c>
      <c r="K181" s="69">
        <f>G181+H181+I181+J181</f>
        <v>62836.770000000004</v>
      </c>
      <c r="L181" s="69">
        <f>F181-K181</f>
        <v>37163.229999999996</v>
      </c>
      <c r="M181" s="13"/>
    </row>
    <row r="182" spans="1:17" ht="32.25" customHeight="1">
      <c r="A182" s="53">
        <v>91</v>
      </c>
      <c r="B182" s="25" t="s">
        <v>207</v>
      </c>
      <c r="C182" s="25" t="s">
        <v>110</v>
      </c>
      <c r="D182" s="53" t="s">
        <v>14</v>
      </c>
      <c r="E182" s="53" t="s">
        <v>55</v>
      </c>
      <c r="F182" s="69">
        <v>37000</v>
      </c>
      <c r="G182" s="69">
        <v>1061.9000000000001</v>
      </c>
      <c r="H182" s="69">
        <v>0</v>
      </c>
      <c r="I182" s="69">
        <v>1124.8</v>
      </c>
      <c r="J182" s="69">
        <v>2456.96</v>
      </c>
      <c r="K182" s="69">
        <f>J182+I182+H182+G182</f>
        <v>4643.66</v>
      </c>
      <c r="L182" s="69">
        <f t="shared" ref="L182:L188" si="25">F182-K182</f>
        <v>32356.34</v>
      </c>
      <c r="M182" s="14"/>
    </row>
    <row r="183" spans="1:17" ht="32.25" customHeight="1">
      <c r="A183" s="53">
        <v>92</v>
      </c>
      <c r="B183" s="25" t="s">
        <v>208</v>
      </c>
      <c r="C183" s="25" t="s">
        <v>126</v>
      </c>
      <c r="D183" s="75" t="s">
        <v>15</v>
      </c>
      <c r="E183" s="53" t="s">
        <v>55</v>
      </c>
      <c r="F183" s="69">
        <v>30000</v>
      </c>
      <c r="G183" s="69">
        <v>861</v>
      </c>
      <c r="H183" s="69">
        <v>0</v>
      </c>
      <c r="I183" s="69">
        <v>912</v>
      </c>
      <c r="J183" s="69">
        <v>6297.41</v>
      </c>
      <c r="K183" s="69">
        <f>J183+I183+H183+G183</f>
        <v>8070.41</v>
      </c>
      <c r="L183" s="69">
        <f t="shared" si="25"/>
        <v>21929.59</v>
      </c>
      <c r="M183" s="14"/>
      <c r="Q183" s="86"/>
    </row>
    <row r="184" spans="1:17" ht="32.25" customHeight="1">
      <c r="A184" s="53">
        <v>93</v>
      </c>
      <c r="B184" s="25" t="s">
        <v>210</v>
      </c>
      <c r="C184" s="25" t="s">
        <v>110</v>
      </c>
      <c r="D184" s="75" t="s">
        <v>15</v>
      </c>
      <c r="E184" s="53" t="s">
        <v>55</v>
      </c>
      <c r="F184" s="69">
        <v>33500</v>
      </c>
      <c r="G184" s="69">
        <v>961.45</v>
      </c>
      <c r="H184" s="69">
        <v>0</v>
      </c>
      <c r="I184" s="69">
        <v>1018.4</v>
      </c>
      <c r="J184" s="69">
        <v>6952.65</v>
      </c>
      <c r="K184" s="69">
        <f t="shared" ref="K184:K187" si="26">G184+H184+I184+J184</f>
        <v>8932.5</v>
      </c>
      <c r="L184" s="69">
        <f t="shared" si="25"/>
        <v>24567.5</v>
      </c>
      <c r="M184" s="14"/>
    </row>
    <row r="185" spans="1:17" ht="32.25" customHeight="1">
      <c r="A185" s="53">
        <v>94</v>
      </c>
      <c r="B185" s="25" t="s">
        <v>213</v>
      </c>
      <c r="C185" s="25" t="s">
        <v>214</v>
      </c>
      <c r="D185" s="75" t="s">
        <v>15</v>
      </c>
      <c r="E185" s="53" t="s">
        <v>55</v>
      </c>
      <c r="F185" s="69">
        <v>55000</v>
      </c>
      <c r="G185" s="69">
        <f>1004.5+574</f>
        <v>1578.5</v>
      </c>
      <c r="H185" s="69">
        <v>2559.67</v>
      </c>
      <c r="I185" s="69">
        <f>1064+608</f>
        <v>1672</v>
      </c>
      <c r="J185" s="69">
        <v>25</v>
      </c>
      <c r="K185" s="69">
        <f t="shared" si="26"/>
        <v>5835.17</v>
      </c>
      <c r="L185" s="69">
        <f t="shared" si="25"/>
        <v>49164.83</v>
      </c>
      <c r="M185" s="14"/>
    </row>
    <row r="186" spans="1:17" ht="32.25" customHeight="1">
      <c r="A186" s="53">
        <v>95</v>
      </c>
      <c r="B186" s="25" t="s">
        <v>125</v>
      </c>
      <c r="C186" s="25" t="s">
        <v>126</v>
      </c>
      <c r="D186" s="75" t="s">
        <v>15</v>
      </c>
      <c r="E186" s="53" t="s">
        <v>42</v>
      </c>
      <c r="F186" s="69">
        <v>37000</v>
      </c>
      <c r="G186" s="69">
        <v>1061.9000000000001</v>
      </c>
      <c r="H186" s="69">
        <v>0</v>
      </c>
      <c r="I186" s="69">
        <v>1124.8</v>
      </c>
      <c r="J186" s="69">
        <v>25516.880000000001</v>
      </c>
      <c r="K186" s="69">
        <f t="shared" si="26"/>
        <v>27703.58</v>
      </c>
      <c r="L186" s="69">
        <f t="shared" si="25"/>
        <v>9296.4199999999983</v>
      </c>
      <c r="M186" s="13"/>
    </row>
    <row r="187" spans="1:17" ht="32.25" customHeight="1">
      <c r="A187" s="53">
        <v>96</v>
      </c>
      <c r="B187" s="25" t="s">
        <v>164</v>
      </c>
      <c r="C187" s="25" t="s">
        <v>9</v>
      </c>
      <c r="D187" s="53" t="s">
        <v>14</v>
      </c>
      <c r="E187" s="53" t="s">
        <v>55</v>
      </c>
      <c r="F187" s="110">
        <f>37000+3000</f>
        <v>40000</v>
      </c>
      <c r="G187" s="110">
        <f>1061.9+86.1</f>
        <v>1148</v>
      </c>
      <c r="H187" s="111">
        <v>0</v>
      </c>
      <c r="I187" s="69">
        <f>1124.8+91.2</f>
        <v>1216</v>
      </c>
      <c r="J187" s="110">
        <v>15056.3</v>
      </c>
      <c r="K187" s="110">
        <f t="shared" si="26"/>
        <v>17420.3</v>
      </c>
      <c r="L187" s="110">
        <f t="shared" si="25"/>
        <v>22579.7</v>
      </c>
      <c r="M187" s="14"/>
    </row>
    <row r="188" spans="1:17" ht="32.25" customHeight="1">
      <c r="A188" s="53">
        <v>97</v>
      </c>
      <c r="B188" s="115" t="s">
        <v>167</v>
      </c>
      <c r="C188" s="115" t="s">
        <v>133</v>
      </c>
      <c r="D188" s="53" t="s">
        <v>15</v>
      </c>
      <c r="E188" s="53" t="s">
        <v>55</v>
      </c>
      <c r="F188" s="110">
        <v>33500</v>
      </c>
      <c r="G188" s="72">
        <v>961.45</v>
      </c>
      <c r="H188" s="111">
        <v>0</v>
      </c>
      <c r="I188" s="69">
        <v>1018.4</v>
      </c>
      <c r="J188" s="110">
        <v>739.5</v>
      </c>
      <c r="K188" s="110">
        <f>G188+H188+I188+J188</f>
        <v>2719.35</v>
      </c>
      <c r="L188" s="72">
        <f t="shared" si="25"/>
        <v>30780.65</v>
      </c>
      <c r="M188" s="14"/>
    </row>
    <row r="189" spans="1:17" ht="32.25" customHeight="1">
      <c r="A189" s="75">
        <v>98</v>
      </c>
      <c r="B189" s="25" t="s">
        <v>186</v>
      </c>
      <c r="C189" s="25" t="s">
        <v>12</v>
      </c>
      <c r="D189" s="53" t="s">
        <v>15</v>
      </c>
      <c r="E189" s="53" t="s">
        <v>42</v>
      </c>
      <c r="F189" s="110">
        <v>60000</v>
      </c>
      <c r="G189" s="72">
        <v>1722</v>
      </c>
      <c r="H189" s="72">
        <v>3102.69</v>
      </c>
      <c r="I189" s="72">
        <v>1824</v>
      </c>
      <c r="J189" s="110">
        <v>10715.26</v>
      </c>
      <c r="K189" s="110">
        <f>G189+H189+I189+J189</f>
        <v>17363.95</v>
      </c>
      <c r="L189" s="72">
        <f>F189-K189</f>
        <v>42636.05</v>
      </c>
      <c r="M189" s="14"/>
    </row>
    <row r="190" spans="1:17" ht="32.25" customHeight="1">
      <c r="A190" s="75">
        <v>99</v>
      </c>
      <c r="B190" s="25" t="s">
        <v>182</v>
      </c>
      <c r="C190" s="25" t="s">
        <v>183</v>
      </c>
      <c r="D190" s="53" t="s">
        <v>14</v>
      </c>
      <c r="E190" s="53" t="s">
        <v>55</v>
      </c>
      <c r="F190" s="72">
        <f>35000+13000</f>
        <v>48000</v>
      </c>
      <c r="G190" s="72">
        <f>1004.5+373.1</f>
        <v>1377.6</v>
      </c>
      <c r="H190" s="72">
        <v>533.64</v>
      </c>
      <c r="I190" s="72">
        <f>395.2+1064</f>
        <v>1459.2</v>
      </c>
      <c r="J190" s="72">
        <v>22686.57</v>
      </c>
      <c r="K190" s="72">
        <f>G190+H190+I190+J190</f>
        <v>26057.01</v>
      </c>
      <c r="L190" s="112">
        <f>F190-K190</f>
        <v>21942.99</v>
      </c>
      <c r="M190" s="14"/>
    </row>
    <row r="191" spans="1:17" ht="32.25" customHeight="1">
      <c r="A191" s="41" t="s">
        <v>24</v>
      </c>
      <c r="B191" s="43"/>
      <c r="C191" s="43"/>
      <c r="D191" s="44"/>
      <c r="E191" s="41"/>
      <c r="F191" s="113">
        <f t="shared" ref="F191:L191" si="27">SUM(F181:F190)</f>
        <v>474000</v>
      </c>
      <c r="G191" s="114">
        <f t="shared" si="27"/>
        <v>13603.800000000001</v>
      </c>
      <c r="H191" s="113">
        <f t="shared" si="27"/>
        <v>18301.439999999999</v>
      </c>
      <c r="I191" s="113">
        <f t="shared" si="27"/>
        <v>14409.6</v>
      </c>
      <c r="J191" s="113">
        <f t="shared" si="27"/>
        <v>135267.85999999999</v>
      </c>
      <c r="K191" s="113">
        <f t="shared" si="27"/>
        <v>181582.70000000004</v>
      </c>
      <c r="L191" s="113">
        <f t="shared" si="27"/>
        <v>292417.3</v>
      </c>
      <c r="M191" s="14"/>
    </row>
    <row r="192" spans="1:17" ht="32.25" customHeight="1">
      <c r="A192" s="141" t="s">
        <v>215</v>
      </c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"/>
    </row>
    <row r="193" spans="1:13" ht="32.25" customHeight="1">
      <c r="A193" s="38" t="s">
        <v>0</v>
      </c>
      <c r="B193" s="97" t="s">
        <v>1</v>
      </c>
      <c r="C193" s="97" t="s">
        <v>2</v>
      </c>
      <c r="D193" s="38" t="s">
        <v>13</v>
      </c>
      <c r="E193" s="97" t="s">
        <v>3</v>
      </c>
      <c r="F193" s="38" t="s">
        <v>28</v>
      </c>
      <c r="G193" s="38" t="s">
        <v>4</v>
      </c>
      <c r="H193" s="38" t="s">
        <v>6</v>
      </c>
      <c r="I193" s="38" t="s">
        <v>5</v>
      </c>
      <c r="J193" s="38" t="s">
        <v>31</v>
      </c>
      <c r="K193" s="38" t="s">
        <v>30</v>
      </c>
      <c r="L193" s="38" t="s">
        <v>29</v>
      </c>
      <c r="M193" s="14"/>
    </row>
    <row r="194" spans="1:13" ht="32.25" customHeight="1">
      <c r="A194" s="53">
        <v>100</v>
      </c>
      <c r="B194" s="37" t="s">
        <v>216</v>
      </c>
      <c r="C194" s="21" t="s">
        <v>183</v>
      </c>
      <c r="D194" s="22" t="s">
        <v>14</v>
      </c>
      <c r="E194" s="22" t="s">
        <v>42</v>
      </c>
      <c r="F194" s="36">
        <v>37000</v>
      </c>
      <c r="G194" s="36">
        <v>1061.9000000000001</v>
      </c>
      <c r="H194" s="36">
        <v>0</v>
      </c>
      <c r="I194" s="8">
        <v>1124.8</v>
      </c>
      <c r="J194" s="36">
        <v>6506.15</v>
      </c>
      <c r="K194" s="36">
        <f>G194+I194+H194+J194</f>
        <v>8692.8499999999985</v>
      </c>
      <c r="L194" s="8">
        <f>+F194-K194</f>
        <v>28307.15</v>
      </c>
      <c r="M194" s="14"/>
    </row>
    <row r="195" spans="1:13" ht="32.25" customHeight="1">
      <c r="A195" s="53">
        <v>101</v>
      </c>
      <c r="B195" s="21" t="s">
        <v>217</v>
      </c>
      <c r="C195" s="21" t="s">
        <v>218</v>
      </c>
      <c r="D195" s="22" t="s">
        <v>14</v>
      </c>
      <c r="E195" s="22" t="s">
        <v>55</v>
      </c>
      <c r="F195" s="8">
        <f>30000+71500</f>
        <v>101500</v>
      </c>
      <c r="G195" s="8">
        <f>861+2052.05</f>
        <v>2913.05</v>
      </c>
      <c r="H195" s="36">
        <v>12458.27</v>
      </c>
      <c r="I195" s="8">
        <f>912+2173.6</f>
        <v>3085.6</v>
      </c>
      <c r="J195" s="36">
        <v>225</v>
      </c>
      <c r="K195" s="8">
        <f>G195+H195+I195+J195</f>
        <v>18681.919999999998</v>
      </c>
      <c r="L195" s="8">
        <f>F195-K195</f>
        <v>82818.080000000002</v>
      </c>
      <c r="M195" s="14"/>
    </row>
    <row r="196" spans="1:13" ht="32.25" customHeight="1">
      <c r="A196" s="71" t="s">
        <v>255</v>
      </c>
      <c r="B196" s="21" t="s">
        <v>204</v>
      </c>
      <c r="C196" s="21" t="s">
        <v>110</v>
      </c>
      <c r="D196" s="22" t="s">
        <v>15</v>
      </c>
      <c r="E196" s="22" t="s">
        <v>55</v>
      </c>
      <c r="F196" s="69">
        <v>35000</v>
      </c>
      <c r="G196" s="72">
        <v>1004.5</v>
      </c>
      <c r="H196" s="72">
        <v>0</v>
      </c>
      <c r="I196" s="72">
        <v>1064</v>
      </c>
      <c r="J196" s="72">
        <v>725</v>
      </c>
      <c r="K196" s="72">
        <f>J196+I196+H196+G196</f>
        <v>2793.5</v>
      </c>
      <c r="L196" s="72">
        <f>F196-K196</f>
        <v>32206.5</v>
      </c>
      <c r="M196" s="14"/>
    </row>
    <row r="197" spans="1:13" ht="32.25" customHeight="1">
      <c r="A197" s="41" t="s">
        <v>24</v>
      </c>
      <c r="B197" s="21"/>
      <c r="C197" s="21"/>
      <c r="D197" s="22"/>
      <c r="E197" s="22"/>
      <c r="F197" s="9">
        <f t="shared" ref="F197:L197" si="28">SUM(F194:F196)</f>
        <v>173500</v>
      </c>
      <c r="G197" s="9">
        <f t="shared" si="28"/>
        <v>4979.4500000000007</v>
      </c>
      <c r="H197" s="26">
        <f t="shared" si="28"/>
        <v>12458.27</v>
      </c>
      <c r="I197" s="9">
        <f t="shared" si="28"/>
        <v>5274.4</v>
      </c>
      <c r="J197" s="9">
        <f t="shared" si="28"/>
        <v>7456.15</v>
      </c>
      <c r="K197" s="9">
        <f t="shared" si="28"/>
        <v>30168.269999999997</v>
      </c>
      <c r="L197" s="9">
        <f t="shared" si="28"/>
        <v>143331.73000000001</v>
      </c>
      <c r="M197" s="14"/>
    </row>
    <row r="198" spans="1:13" ht="32.25" customHeight="1">
      <c r="A198" s="136" t="s">
        <v>223</v>
      </c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4"/>
    </row>
    <row r="199" spans="1:13" ht="32.25" customHeight="1">
      <c r="A199" s="38" t="s">
        <v>0</v>
      </c>
      <c r="B199" s="19" t="s">
        <v>1</v>
      </c>
      <c r="C199" s="19" t="s">
        <v>2</v>
      </c>
      <c r="D199" s="18" t="s">
        <v>13</v>
      </c>
      <c r="E199" s="19" t="s">
        <v>3</v>
      </c>
      <c r="F199" s="18" t="s">
        <v>28</v>
      </c>
      <c r="G199" s="18" t="s">
        <v>4</v>
      </c>
      <c r="H199" s="18" t="s">
        <v>6</v>
      </c>
      <c r="I199" s="18" t="s">
        <v>5</v>
      </c>
      <c r="J199" s="18" t="s">
        <v>31</v>
      </c>
      <c r="K199" s="18" t="s">
        <v>30</v>
      </c>
      <c r="L199" s="18" t="s">
        <v>29</v>
      </c>
      <c r="M199" s="14"/>
    </row>
    <row r="200" spans="1:13" ht="67.5" customHeight="1">
      <c r="A200" s="53">
        <v>103</v>
      </c>
      <c r="B200" s="21" t="s">
        <v>219</v>
      </c>
      <c r="C200" s="21" t="s">
        <v>220</v>
      </c>
      <c r="D200" s="73" t="s">
        <v>15</v>
      </c>
      <c r="E200" s="22" t="s">
        <v>55</v>
      </c>
      <c r="F200" s="23">
        <v>101500</v>
      </c>
      <c r="G200" s="23">
        <f>F200*0.0287</f>
        <v>2913.05</v>
      </c>
      <c r="H200" s="23">
        <f>3486.65+8971.62</f>
        <v>12458.27</v>
      </c>
      <c r="I200" s="23">
        <f>1824+1261.6</f>
        <v>3085.6</v>
      </c>
      <c r="J200" s="23">
        <v>5325</v>
      </c>
      <c r="K200" s="23">
        <f>G200+I200+H200+J200</f>
        <v>23781.919999999998</v>
      </c>
      <c r="L200" s="23">
        <f>+F200-K200</f>
        <v>77718.080000000002</v>
      </c>
      <c r="M200" s="66"/>
    </row>
    <row r="201" spans="1:13" ht="48" customHeight="1">
      <c r="A201" s="53">
        <v>104</v>
      </c>
      <c r="B201" s="37" t="s">
        <v>221</v>
      </c>
      <c r="C201" s="21" t="s">
        <v>222</v>
      </c>
      <c r="D201" s="22" t="s">
        <v>15</v>
      </c>
      <c r="E201" s="22" t="s">
        <v>42</v>
      </c>
      <c r="F201" s="36">
        <v>65000</v>
      </c>
      <c r="G201" s="36">
        <f>F201*0.0287</f>
        <v>1865.5</v>
      </c>
      <c r="H201" s="36">
        <v>4043.59</v>
      </c>
      <c r="I201" s="36">
        <f>IF(F201&lt;75829.93,F201*0.0304,2305.23)</f>
        <v>1976</v>
      </c>
      <c r="J201" s="36">
        <v>14570.41</v>
      </c>
      <c r="K201" s="36">
        <f>G201+H201+I201+J201</f>
        <v>22455.5</v>
      </c>
      <c r="L201" s="8">
        <f>+F201-K201</f>
        <v>42544.5</v>
      </c>
      <c r="M201" s="66"/>
    </row>
    <row r="202" spans="1:13" ht="32.25" customHeight="1">
      <c r="A202" s="43" t="s">
        <v>24</v>
      </c>
      <c r="B202" s="25"/>
      <c r="C202" s="21"/>
      <c r="D202" s="22"/>
      <c r="E202" s="22"/>
      <c r="F202" s="101">
        <f>SUM(F200:F201)</f>
        <v>166500</v>
      </c>
      <c r="G202" s="5">
        <f>SUM(G200:G201)</f>
        <v>4778.55</v>
      </c>
      <c r="H202" s="5">
        <f>+H200+H201</f>
        <v>16501.86</v>
      </c>
      <c r="I202" s="101">
        <f>SUM(I200:I201)</f>
        <v>5061.6000000000004</v>
      </c>
      <c r="J202" s="5">
        <f>+J200+J201</f>
        <v>19895.41</v>
      </c>
      <c r="K202" s="5">
        <f>+K200+K201</f>
        <v>46237.42</v>
      </c>
      <c r="L202" s="9">
        <f>SUM(L200:L201)</f>
        <v>120262.58</v>
      </c>
      <c r="M202" s="14"/>
    </row>
    <row r="203" spans="1:13" ht="32.25" customHeight="1">
      <c r="A203" s="43" t="s">
        <v>24</v>
      </c>
      <c r="B203" s="25"/>
      <c r="C203" s="21"/>
      <c r="D203" s="22"/>
      <c r="E203" s="22"/>
      <c r="F203" s="104">
        <f>F20+F25+F34+F41+F50+F55+F60+F70+F79+F84+F90+F98+F104+F132+F140+F147+F154+F161+F166+F178+F191+F197+F202</f>
        <v>6155950</v>
      </c>
      <c r="G203" s="10">
        <f>+G20+G25+G34+G41+G50+G55+G60+G70+G79+G84+G90+G98+G104+G132+G140+G147+G154+G161+G166+G178+G191+G197+G202</f>
        <v>176675.77</v>
      </c>
      <c r="H203" s="10">
        <f>+H20+H25+H34+H41+H50+H55+H60+H70+H79+H84+H90+H98+H104+H132+H140+H147+H154+H161+H166+H178+H191+H197+H202</f>
        <v>469056.93000000005</v>
      </c>
      <c r="I203" s="105">
        <f>I202+I197+I191+I178+I166+I161+I154+I147+I140+I132+I104+I98+I90+I84+I79+I70+I60+I55+I50+I41+I34+I25+I20</f>
        <v>186752.67</v>
      </c>
      <c r="J203" s="10">
        <f>+J20+J25+J34+J41+J50+J55+J60+J70+J79+J84+J90+J98+J104+J132+J140+J147+J154+J161+J166+J178+J191+J197+J202</f>
        <v>990751.66000000015</v>
      </c>
      <c r="K203" s="10">
        <f>+K20+K25+K34+K41+K50+K55+K60+K70+K79+K84+K90+K98+K104+K132+K140+K147+K154+K161+K166+K178+K191+K197+K202</f>
        <v>1823237.03</v>
      </c>
      <c r="L203" s="11">
        <f>+L20+L25+L34+L41+L50+L55+L60+L70+L79+L84+L90+L98+L104+L132+L140+L147+L154+L161+L166+L178+L191+L197+L202</f>
        <v>4332712.9700000007</v>
      </c>
      <c r="M203" s="14"/>
    </row>
    <row r="204" spans="1:13" ht="32.25" customHeight="1" thickBot="1">
      <c r="A204" s="43" t="s">
        <v>227</v>
      </c>
      <c r="B204" s="25"/>
      <c r="C204" s="21"/>
      <c r="D204" s="22"/>
      <c r="E204" s="22"/>
      <c r="F204" s="106">
        <v>6155950</v>
      </c>
      <c r="G204" s="107">
        <v>176675.77</v>
      </c>
      <c r="H204" s="107">
        <v>469056.93</v>
      </c>
      <c r="I204" s="108">
        <v>186752.67</v>
      </c>
      <c r="J204" s="107">
        <v>990751.66</v>
      </c>
      <c r="K204" s="107">
        <v>1823237.03</v>
      </c>
      <c r="L204" s="109">
        <v>4332712.97</v>
      </c>
      <c r="M204" s="14"/>
    </row>
    <row r="205" spans="1:13" ht="32.25" customHeight="1" thickTop="1">
      <c r="A205" s="41"/>
      <c r="B205" s="25"/>
      <c r="C205" s="21"/>
      <c r="D205" s="22"/>
      <c r="E205" s="22"/>
      <c r="F205" s="101"/>
      <c r="G205" s="5"/>
      <c r="H205" s="90"/>
      <c r="I205" s="101"/>
      <c r="J205" s="5"/>
      <c r="K205" s="5"/>
      <c r="L205" s="9"/>
      <c r="M205" s="14"/>
    </row>
    <row r="206" spans="1:13" ht="32.25" customHeight="1">
      <c r="A206" s="44" t="s">
        <v>21</v>
      </c>
      <c r="B206" s="24"/>
      <c r="C206" s="24"/>
      <c r="D206" s="20"/>
      <c r="E206" s="30" t="s">
        <v>23</v>
      </c>
      <c r="F206" s="90"/>
      <c r="G206" s="90"/>
      <c r="H206" s="102"/>
      <c r="I206" s="103"/>
      <c r="J206" s="138" t="s">
        <v>22</v>
      </c>
      <c r="K206" s="138"/>
      <c r="L206" s="138"/>
      <c r="M206" s="14"/>
    </row>
    <row r="208" spans="1:13" ht="32.25" customHeight="1">
      <c r="A208" s="41"/>
      <c r="B208" s="24"/>
      <c r="C208" s="24" t="s">
        <v>224</v>
      </c>
      <c r="D208" s="20"/>
      <c r="E208" s="20"/>
      <c r="F208" s="20"/>
      <c r="G208" s="90"/>
      <c r="H208" s="90"/>
      <c r="I208" s="30"/>
      <c r="J208" s="30"/>
      <c r="K208" s="30"/>
      <c r="L208" s="30"/>
      <c r="M208" s="14"/>
    </row>
    <row r="209" spans="1:13" ht="32.25" customHeight="1">
      <c r="A209" s="44" t="s">
        <v>225</v>
      </c>
      <c r="B209" s="24"/>
      <c r="C209" s="24"/>
      <c r="D209" s="20"/>
      <c r="E209" s="31" t="s">
        <v>8</v>
      </c>
      <c r="F209" s="31"/>
      <c r="G209" s="90"/>
      <c r="H209" s="90"/>
      <c r="I209" s="90"/>
      <c r="J209" s="138" t="s">
        <v>34</v>
      </c>
      <c r="K209" s="138"/>
      <c r="L209" s="138"/>
      <c r="M209" s="14"/>
    </row>
    <row r="210" spans="1:13" ht="32.25" customHeight="1">
      <c r="A210" s="44" t="s">
        <v>226</v>
      </c>
      <c r="B210" s="24"/>
      <c r="C210" s="24"/>
      <c r="D210" s="20"/>
      <c r="E210" s="20" t="s">
        <v>25</v>
      </c>
      <c r="F210" s="20"/>
      <c r="G210" s="90"/>
      <c r="H210" s="90"/>
      <c r="I210" s="90"/>
      <c r="J210" s="139" t="s">
        <v>7</v>
      </c>
      <c r="K210" s="139"/>
      <c r="L210" s="139"/>
      <c r="M210" s="14"/>
    </row>
    <row r="211" spans="1:13" ht="32.25" customHeight="1">
      <c r="A211" s="41"/>
      <c r="B211" s="25"/>
      <c r="C211" s="21"/>
      <c r="D211" s="22"/>
      <c r="E211" s="22"/>
      <c r="F211" s="23"/>
      <c r="G211" s="3"/>
      <c r="H211" s="89"/>
      <c r="I211" s="23"/>
      <c r="J211" s="3"/>
      <c r="K211" s="3"/>
      <c r="L211" s="8"/>
      <c r="M211" s="14"/>
    </row>
    <row r="212" spans="1:13" ht="32.25" customHeight="1">
      <c r="A212" s="41"/>
      <c r="B212" s="25"/>
      <c r="C212" s="21"/>
      <c r="D212" s="22"/>
      <c r="E212" s="22"/>
      <c r="F212" s="23"/>
      <c r="G212" s="3"/>
      <c r="H212" s="89"/>
      <c r="I212" s="23"/>
      <c r="J212" s="3"/>
      <c r="K212" s="3"/>
      <c r="L212" s="8"/>
      <c r="M212" s="14"/>
    </row>
    <row r="213" spans="1:13" ht="32.25" customHeight="1">
      <c r="A213" s="41"/>
      <c r="B213" s="25"/>
      <c r="C213" s="21"/>
      <c r="D213" s="22"/>
      <c r="E213" s="22"/>
      <c r="F213" s="23"/>
      <c r="G213" s="3"/>
      <c r="H213" s="89"/>
      <c r="I213" s="23"/>
      <c r="J213" s="3"/>
      <c r="K213" s="3"/>
      <c r="L213" s="8"/>
      <c r="M213" s="14"/>
    </row>
    <row r="214" spans="1:13" ht="32.25" customHeight="1">
      <c r="A214" s="41"/>
      <c r="B214" s="25"/>
      <c r="C214" s="21"/>
      <c r="D214" s="22"/>
      <c r="E214" s="22"/>
      <c r="F214" s="23"/>
      <c r="G214" s="3"/>
      <c r="H214" s="89"/>
      <c r="I214" s="23"/>
      <c r="J214" s="3"/>
      <c r="K214" s="3"/>
      <c r="L214" s="8"/>
      <c r="M214" s="14"/>
    </row>
    <row r="215" spans="1:13" ht="32.25" customHeight="1">
      <c r="A215" s="41"/>
      <c r="B215" s="25"/>
      <c r="C215" s="21"/>
      <c r="D215" s="22"/>
      <c r="E215" s="22"/>
      <c r="F215" s="23"/>
      <c r="G215" s="3"/>
      <c r="H215" s="89"/>
      <c r="I215" s="23"/>
      <c r="J215" s="3"/>
      <c r="K215" s="3"/>
      <c r="L215" s="8"/>
      <c r="M215" s="14"/>
    </row>
    <row r="216" spans="1:13" ht="32.25" customHeight="1">
      <c r="A216" s="41"/>
      <c r="B216" s="25"/>
      <c r="C216" s="21"/>
      <c r="D216" s="22"/>
      <c r="E216" s="22"/>
      <c r="F216" s="23"/>
      <c r="G216" s="3"/>
      <c r="H216" s="89"/>
      <c r="I216" s="23"/>
      <c r="J216" s="3"/>
      <c r="K216" s="3"/>
      <c r="L216" s="8"/>
      <c r="M216" s="14"/>
    </row>
    <row r="217" spans="1:13" ht="32.25" customHeight="1">
      <c r="A217" s="41"/>
      <c r="B217" s="25"/>
      <c r="C217" s="21"/>
      <c r="D217" s="22"/>
      <c r="E217" s="22"/>
      <c r="F217" s="23"/>
      <c r="G217" s="3"/>
      <c r="H217" s="89"/>
      <c r="I217" s="23"/>
      <c r="J217" s="3"/>
      <c r="K217" s="3"/>
      <c r="L217" s="8"/>
      <c r="M217" s="14"/>
    </row>
    <row r="218" spans="1:13" ht="32.25" customHeight="1">
      <c r="A218" s="41"/>
      <c r="B218" s="25"/>
      <c r="C218" s="21"/>
      <c r="D218" s="22"/>
      <c r="E218" s="22"/>
      <c r="F218" s="23"/>
      <c r="G218" s="3"/>
      <c r="H218" s="89"/>
      <c r="I218" s="23"/>
      <c r="J218" s="3"/>
      <c r="K218" s="3"/>
      <c r="L218" s="8"/>
      <c r="M218" s="14"/>
    </row>
    <row r="219" spans="1:13" ht="32.25" customHeight="1">
      <c r="A219" s="41"/>
      <c r="B219" s="25"/>
      <c r="C219" s="21"/>
      <c r="D219" s="22"/>
      <c r="E219" s="22"/>
      <c r="F219" s="23"/>
      <c r="G219" s="3"/>
      <c r="H219" s="89"/>
      <c r="I219" s="23"/>
      <c r="J219" s="3"/>
      <c r="K219" s="3"/>
      <c r="L219" s="8"/>
      <c r="M219" s="14"/>
    </row>
    <row r="220" spans="1:13" ht="32.25" customHeight="1">
      <c r="A220" s="41"/>
      <c r="B220" s="93"/>
      <c r="C220" s="94" t="s">
        <v>246</v>
      </c>
      <c r="D220" s="95" t="s">
        <v>4</v>
      </c>
      <c r="E220" s="95" t="s">
        <v>6</v>
      </c>
      <c r="F220" s="94" t="s">
        <v>5</v>
      </c>
      <c r="G220" s="94" t="s">
        <v>247</v>
      </c>
      <c r="H220" s="94" t="s">
        <v>248</v>
      </c>
      <c r="I220" s="94" t="s">
        <v>249</v>
      </c>
      <c r="J220" s="3"/>
      <c r="K220" s="3"/>
      <c r="L220" s="8"/>
      <c r="M220" s="14"/>
    </row>
    <row r="221" spans="1:13" ht="32.25" customHeight="1">
      <c r="A221" s="41"/>
      <c r="B221" s="19" t="s">
        <v>250</v>
      </c>
      <c r="C221" s="96">
        <v>5549950</v>
      </c>
      <c r="D221" s="96">
        <v>159283.57</v>
      </c>
      <c r="E221" s="96">
        <v>368421.71</v>
      </c>
      <c r="F221" s="96">
        <v>168330.27</v>
      </c>
      <c r="G221" s="96">
        <v>990751.66</v>
      </c>
      <c r="H221" s="96">
        <v>1686787.21</v>
      </c>
      <c r="I221" s="96">
        <f>C221-H221</f>
        <v>3863162.79</v>
      </c>
      <c r="J221" s="3"/>
      <c r="K221" s="3"/>
      <c r="L221" s="8"/>
      <c r="M221" s="14"/>
    </row>
    <row r="222" spans="1:13" ht="32.25" customHeight="1">
      <c r="A222" s="41"/>
      <c r="B222" s="19" t="s">
        <v>251</v>
      </c>
      <c r="C222" s="96">
        <v>349500</v>
      </c>
      <c r="D222" s="96">
        <v>10030.65</v>
      </c>
      <c r="E222" s="96">
        <v>53851.11</v>
      </c>
      <c r="F222" s="96">
        <v>10624.8</v>
      </c>
      <c r="G222" s="96">
        <v>0</v>
      </c>
      <c r="H222" s="96">
        <f>D222+E222+F222+G222</f>
        <v>74506.559999999998</v>
      </c>
      <c r="I222" s="96">
        <f t="shared" ref="I222:I223" si="29">C222-H222</f>
        <v>274993.44</v>
      </c>
      <c r="J222" s="3"/>
      <c r="K222" s="3"/>
      <c r="L222" s="8"/>
      <c r="M222" s="14"/>
    </row>
    <row r="223" spans="1:13" ht="32.25" customHeight="1">
      <c r="A223" s="41"/>
      <c r="B223" s="97" t="s">
        <v>252</v>
      </c>
      <c r="C223" s="96">
        <f>263500-7000</f>
        <v>256500</v>
      </c>
      <c r="D223" s="96">
        <f>7562.45-200.9</f>
        <v>7361.55</v>
      </c>
      <c r="E223" s="96">
        <f>48087.45-1303.34</f>
        <v>46784.11</v>
      </c>
      <c r="F223" s="96">
        <f>8010.4-212.8</f>
        <v>7797.5999999999995</v>
      </c>
      <c r="G223" s="96">
        <v>0</v>
      </c>
      <c r="H223" s="96">
        <f>D223+E223+F223+G223</f>
        <v>61943.26</v>
      </c>
      <c r="I223" s="96">
        <f t="shared" si="29"/>
        <v>194556.74</v>
      </c>
      <c r="J223" s="3"/>
      <c r="K223" s="3"/>
      <c r="L223" s="8"/>
      <c r="M223" s="14"/>
    </row>
    <row r="224" spans="1:13" ht="32.25" customHeight="1">
      <c r="A224" s="41"/>
      <c r="B224" s="98" t="s">
        <v>253</v>
      </c>
      <c r="C224" s="96">
        <f t="shared" ref="C224:I224" si="30">SUM(C221:C223)</f>
        <v>6155950</v>
      </c>
      <c r="D224" s="96">
        <f t="shared" si="30"/>
        <v>176675.77</v>
      </c>
      <c r="E224" s="96">
        <f t="shared" si="30"/>
        <v>469056.93</v>
      </c>
      <c r="F224" s="96">
        <f t="shared" si="30"/>
        <v>186752.66999999998</v>
      </c>
      <c r="G224" s="96">
        <f t="shared" si="30"/>
        <v>990751.66</v>
      </c>
      <c r="H224" s="96">
        <f t="shared" si="30"/>
        <v>1823237.03</v>
      </c>
      <c r="I224" s="96">
        <f t="shared" si="30"/>
        <v>4332712.97</v>
      </c>
      <c r="J224" s="3"/>
      <c r="K224" s="3"/>
      <c r="L224" s="8"/>
      <c r="M224" s="14"/>
    </row>
    <row r="225" spans="1:13" ht="32.25" customHeight="1">
      <c r="A225" s="41"/>
      <c r="B225" s="99"/>
      <c r="C225" s="96"/>
      <c r="D225" s="96"/>
      <c r="E225" s="96"/>
      <c r="F225" s="96"/>
      <c r="G225" s="96"/>
      <c r="H225" s="96"/>
      <c r="I225" s="96"/>
      <c r="J225" s="3"/>
      <c r="K225" s="3"/>
      <c r="L225" s="8"/>
      <c r="M225" s="14"/>
    </row>
    <row r="226" spans="1:13" ht="32.25" customHeight="1">
      <c r="A226" s="41"/>
      <c r="B226" s="25"/>
      <c r="C226" s="21"/>
      <c r="D226" s="22"/>
      <c r="E226" s="22"/>
      <c r="F226" s="23"/>
      <c r="G226" s="3"/>
      <c r="H226" s="89"/>
      <c r="I226" s="23"/>
      <c r="J226" s="3"/>
      <c r="K226" s="3"/>
      <c r="L226" s="8"/>
      <c r="M226" s="14"/>
    </row>
    <row r="227" spans="1:13" ht="32.25" customHeight="1">
      <c r="A227" s="41"/>
      <c r="B227" s="25"/>
      <c r="C227" s="21"/>
      <c r="D227" s="22"/>
      <c r="E227" s="22"/>
      <c r="F227" s="23"/>
      <c r="G227" s="3"/>
      <c r="H227" s="89"/>
      <c r="I227" s="23"/>
      <c r="J227" s="3"/>
      <c r="K227" s="3"/>
      <c r="L227" s="8"/>
      <c r="M227" s="14"/>
    </row>
    <row r="228" spans="1:13" ht="32.25" customHeight="1">
      <c r="A228" s="41"/>
      <c r="B228" s="25"/>
      <c r="C228" s="21"/>
      <c r="D228" s="22"/>
      <c r="E228" s="22"/>
      <c r="F228" s="23"/>
      <c r="G228" s="3"/>
      <c r="H228" s="89"/>
      <c r="I228" s="23"/>
      <c r="J228" s="3"/>
      <c r="K228" s="3"/>
      <c r="L228" s="8"/>
      <c r="M228" s="14"/>
    </row>
    <row r="229" spans="1:13" ht="32.25" customHeight="1">
      <c r="A229" s="41"/>
      <c r="B229" s="25"/>
      <c r="C229" s="21"/>
      <c r="D229" s="22"/>
      <c r="E229" s="22"/>
      <c r="F229" s="23"/>
      <c r="G229" s="3"/>
      <c r="H229" s="89"/>
      <c r="I229" s="23"/>
      <c r="J229" s="3"/>
      <c r="K229" s="3"/>
      <c r="L229" s="8"/>
      <c r="M229" s="14"/>
    </row>
    <row r="230" spans="1:13" ht="32.25" customHeight="1">
      <c r="A230" s="41"/>
      <c r="B230" s="25"/>
      <c r="C230" s="21"/>
      <c r="D230" s="22"/>
      <c r="E230" s="22"/>
      <c r="F230" s="23"/>
      <c r="G230" s="3"/>
      <c r="H230" s="89"/>
      <c r="I230" s="23"/>
      <c r="J230" s="3"/>
      <c r="K230" s="3"/>
      <c r="L230" s="8"/>
      <c r="M230" s="14"/>
    </row>
    <row r="231" spans="1:13" ht="32.25" customHeight="1">
      <c r="A231" s="41"/>
      <c r="B231" s="25"/>
      <c r="C231" s="21"/>
      <c r="D231" s="22"/>
      <c r="E231" s="22"/>
      <c r="F231" s="23"/>
      <c r="G231" s="3"/>
      <c r="H231" s="89"/>
      <c r="I231" s="23"/>
      <c r="J231" s="3"/>
      <c r="K231" s="3"/>
      <c r="L231" s="8"/>
      <c r="M231" s="14"/>
    </row>
    <row r="232" spans="1:13" ht="32.25" customHeight="1">
      <c r="A232" s="41"/>
      <c r="B232" s="25"/>
      <c r="C232" s="21"/>
      <c r="D232" s="22"/>
      <c r="E232" s="22"/>
      <c r="F232" s="23"/>
      <c r="G232" s="3"/>
      <c r="H232" s="89"/>
      <c r="I232" s="23"/>
      <c r="J232" s="3"/>
      <c r="K232" s="3"/>
      <c r="L232" s="8"/>
      <c r="M232" s="14"/>
    </row>
    <row r="233" spans="1:13" ht="32.25" customHeight="1">
      <c r="A233" s="41"/>
      <c r="B233" s="25"/>
      <c r="C233" s="21"/>
      <c r="D233" s="22"/>
      <c r="E233" s="22"/>
      <c r="F233" s="23"/>
      <c r="G233" s="3"/>
      <c r="H233" s="89"/>
      <c r="I233" s="23"/>
      <c r="J233" s="3"/>
      <c r="K233" s="3"/>
      <c r="L233" s="8"/>
      <c r="M233" s="14"/>
    </row>
    <row r="234" spans="1:13" ht="32.25" customHeight="1">
      <c r="A234" s="41"/>
      <c r="B234" s="25"/>
      <c r="C234" s="21"/>
      <c r="D234" s="22"/>
      <c r="E234" s="22"/>
      <c r="F234" s="23"/>
      <c r="G234" s="3"/>
      <c r="H234" s="89"/>
      <c r="I234" s="23"/>
      <c r="J234" s="3"/>
      <c r="K234" s="3"/>
      <c r="L234" s="8"/>
      <c r="M234" s="14"/>
    </row>
    <row r="235" spans="1:13" ht="32.25" customHeight="1">
      <c r="A235" s="41"/>
      <c r="B235" s="25"/>
      <c r="C235" s="21"/>
      <c r="D235" s="22"/>
      <c r="E235" s="22"/>
      <c r="F235" s="23"/>
      <c r="G235" s="3"/>
      <c r="H235" s="89"/>
      <c r="I235" s="23"/>
      <c r="J235" s="3"/>
      <c r="K235" s="3"/>
      <c r="L235" s="8"/>
      <c r="M235" s="14"/>
    </row>
    <row r="236" spans="1:13" ht="32.25" customHeight="1">
      <c r="A236" s="41"/>
      <c r="B236" s="25"/>
      <c r="C236" s="21"/>
      <c r="D236" s="22"/>
      <c r="E236" s="22"/>
      <c r="F236" s="23"/>
      <c r="G236" s="3"/>
      <c r="H236" s="89"/>
      <c r="I236" s="23"/>
      <c r="J236" s="3"/>
      <c r="K236" s="3"/>
      <c r="L236" s="8"/>
      <c r="M236" s="14"/>
    </row>
    <row r="237" spans="1:13" ht="32.25" customHeight="1">
      <c r="A237" s="41"/>
      <c r="B237" s="25"/>
      <c r="C237" s="21"/>
      <c r="D237" s="22"/>
      <c r="E237" s="22"/>
      <c r="F237" s="23"/>
      <c r="G237" s="3"/>
      <c r="H237" s="89"/>
      <c r="I237" s="23"/>
      <c r="J237" s="3"/>
      <c r="K237" s="3"/>
      <c r="L237" s="8"/>
      <c r="M237" s="14"/>
    </row>
    <row r="238" spans="1:13" ht="32.25" customHeight="1">
      <c r="A238" s="45"/>
      <c r="B238" s="15"/>
      <c r="C238" s="15"/>
      <c r="D238" s="15"/>
      <c r="E238" s="15"/>
      <c r="F238" s="91"/>
      <c r="G238" s="17"/>
      <c r="H238" s="17"/>
      <c r="J238" s="135"/>
      <c r="K238" s="135"/>
      <c r="L238" s="135"/>
      <c r="M238" s="135"/>
    </row>
    <row r="239" spans="1:13" ht="32.25" customHeight="1">
      <c r="A239" s="46"/>
      <c r="B239" s="15"/>
      <c r="C239" s="15"/>
      <c r="D239" s="15"/>
      <c r="E239" s="15"/>
      <c r="F239" s="15"/>
      <c r="G239" s="17"/>
      <c r="H239" s="17"/>
      <c r="J239" s="133"/>
      <c r="K239" s="133"/>
      <c r="L239" s="133"/>
      <c r="M239" s="133"/>
    </row>
    <row r="240" spans="1:13" ht="32.25" customHeight="1">
      <c r="A240" s="132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</row>
    <row r="241" spans="1:13" ht="32.25" customHeight="1">
      <c r="A241" s="46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 ht="32.25" customHeight="1">
      <c r="A242" s="133"/>
      <c r="B242" s="133"/>
      <c r="C242" s="133"/>
      <c r="D242" s="17"/>
      <c r="E242" s="133"/>
      <c r="F242" s="133"/>
      <c r="G242" s="133"/>
      <c r="H242" s="133"/>
      <c r="I242" s="133"/>
      <c r="J242" s="133"/>
      <c r="K242" s="1"/>
      <c r="L242" s="1"/>
      <c r="M242" s="1"/>
    </row>
    <row r="243" spans="1:13" ht="32.25" customHeight="1">
      <c r="A243" s="134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</row>
    <row r="244" spans="1:13" ht="32.25" customHeight="1">
      <c r="A244" s="132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</row>
    <row r="248" spans="1:13" ht="32.25" customHeight="1">
      <c r="I248" s="2"/>
      <c r="J248" s="2"/>
    </row>
    <row r="250" spans="1:13" ht="32.25" customHeight="1">
      <c r="A250" s="46"/>
      <c r="B250" s="33"/>
      <c r="C250" s="34"/>
      <c r="D250" s="35"/>
      <c r="E250" s="35"/>
      <c r="F250" s="35"/>
      <c r="G250" s="16"/>
      <c r="H250" s="16"/>
      <c r="I250" s="16"/>
      <c r="J250" s="16"/>
      <c r="K250" s="16"/>
      <c r="L250" s="16"/>
      <c r="M250" s="16"/>
    </row>
  </sheetData>
  <mergeCells count="35">
    <mergeCell ref="J206:L206"/>
    <mergeCell ref="J209:L209"/>
    <mergeCell ref="J210:L210"/>
    <mergeCell ref="A62:L62"/>
    <mergeCell ref="A74:L74"/>
    <mergeCell ref="A81:L81"/>
    <mergeCell ref="A86:L86"/>
    <mergeCell ref="A92:L92"/>
    <mergeCell ref="A155:L155"/>
    <mergeCell ref="A162:L162"/>
    <mergeCell ref="A167:L167"/>
    <mergeCell ref="A179:L179"/>
    <mergeCell ref="A192:L192"/>
    <mergeCell ref="A144:L144"/>
    <mergeCell ref="A36:L36"/>
    <mergeCell ref="A42:L42"/>
    <mergeCell ref="A52:L52"/>
    <mergeCell ref="A57:L57"/>
    <mergeCell ref="A198:L198"/>
    <mergeCell ref="A1:M6"/>
    <mergeCell ref="A8:L8"/>
    <mergeCell ref="A22:L22"/>
    <mergeCell ref="A244:M244"/>
    <mergeCell ref="A242:C242"/>
    <mergeCell ref="E242:G242"/>
    <mergeCell ref="H242:J242"/>
    <mergeCell ref="A243:M243"/>
    <mergeCell ref="J238:M238"/>
    <mergeCell ref="A240:M240"/>
    <mergeCell ref="J239:M239"/>
    <mergeCell ref="A100:L100"/>
    <mergeCell ref="A109:L109"/>
    <mergeCell ref="A134:L134"/>
    <mergeCell ref="A149:L149"/>
    <mergeCell ref="A27:L27"/>
  </mergeCells>
  <phoneticPr fontId="2" type="noConversion"/>
  <pageMargins left="0.74" right="0.23622047244094491" top="0.17" bottom="0.17" header="0.19" footer="0.17"/>
  <pageSetup paperSize="5" scale="48" fitToHeight="0" orientation="landscape" r:id="rId1"/>
  <ignoredErrors>
    <ignoredError sqref="H41 K116 K122 I60 K137 I203 H202:I202 H178:I178 H166:I166 H154:I154 H147 H132:I132 I104 H98:I98 H90:I90 I84 G84:H84 H79:I79 H70:I70 H55:I55 I50 H34:I34 I25 G25:H25 H20:I20 K158:K159 K170 J191" formula="1"/>
    <ignoredError sqref="H78 A169:A177 A196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8CCF-2DF4-48B6-9493-1AA3FC869630}">
  <dimension ref="A4:M30"/>
  <sheetViews>
    <sheetView workbookViewId="0">
      <selection activeCell="M14" sqref="M14"/>
    </sheetView>
  </sheetViews>
  <sheetFormatPr baseColWidth="10" defaultRowHeight="15"/>
  <cols>
    <col min="2" max="2" width="35.140625" customWidth="1"/>
    <col min="3" max="3" width="30.28515625" customWidth="1"/>
    <col min="5" max="5" width="21.5703125" customWidth="1"/>
    <col min="6" max="6" width="24.85546875" customWidth="1"/>
    <col min="10" max="10" width="19" customWidth="1"/>
    <col min="11" max="11" width="25.140625" customWidth="1"/>
    <col min="12" max="12" width="13.85546875" bestFit="1" customWidth="1"/>
  </cols>
  <sheetData>
    <row r="4" spans="1:13">
      <c r="A4" s="142" t="s">
        <v>256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4"/>
    </row>
    <row r="5" spans="1:13">
      <c r="A5" s="145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46"/>
    </row>
    <row r="6" spans="1:13">
      <c r="A6" s="145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46"/>
    </row>
    <row r="7" spans="1:13">
      <c r="A7" s="145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46"/>
    </row>
    <row r="8" spans="1:13">
      <c r="A8" s="145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46"/>
    </row>
    <row r="9" spans="1:13" ht="15.75" thickBot="1">
      <c r="A9" s="147"/>
      <c r="B9" s="148"/>
      <c r="C9" s="148"/>
      <c r="D9" s="148"/>
      <c r="E9" s="148"/>
      <c r="F9" s="148"/>
      <c r="G9" s="148"/>
      <c r="H9" s="148"/>
      <c r="I9" s="148"/>
      <c r="J9" s="148"/>
      <c r="K9" s="128"/>
      <c r="L9" s="146"/>
    </row>
    <row r="10" spans="1:13" ht="21" thickBot="1">
      <c r="A10" s="149" t="s">
        <v>257</v>
      </c>
      <c r="B10" s="149" t="s">
        <v>26</v>
      </c>
      <c r="C10" s="149" t="s">
        <v>16</v>
      </c>
      <c r="D10" s="149" t="s">
        <v>17</v>
      </c>
      <c r="E10" s="149" t="s">
        <v>18</v>
      </c>
      <c r="F10" s="149" t="s">
        <v>27</v>
      </c>
      <c r="G10" s="149" t="s">
        <v>19</v>
      </c>
      <c r="H10" s="149" t="s">
        <v>11</v>
      </c>
      <c r="I10" s="149" t="s">
        <v>258</v>
      </c>
      <c r="J10" s="150" t="s">
        <v>20</v>
      </c>
      <c r="K10" s="151"/>
      <c r="L10" s="152"/>
    </row>
    <row r="11" spans="1:13" ht="31.5" thickBot="1">
      <c r="A11" s="153" t="s">
        <v>259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5"/>
      <c r="L11" s="156"/>
    </row>
    <row r="12" spans="1:13" ht="21" thickBot="1">
      <c r="A12" s="157" t="s">
        <v>0</v>
      </c>
      <c r="B12" s="158" t="s">
        <v>1</v>
      </c>
      <c r="C12" s="158" t="s">
        <v>2</v>
      </c>
      <c r="D12" s="158" t="s">
        <v>13</v>
      </c>
      <c r="E12" s="158" t="s">
        <v>3</v>
      </c>
      <c r="F12" s="158" t="s">
        <v>28</v>
      </c>
      <c r="G12" s="158" t="s">
        <v>4</v>
      </c>
      <c r="H12" s="158" t="s">
        <v>5</v>
      </c>
      <c r="I12" s="158" t="s">
        <v>6</v>
      </c>
      <c r="J12" s="158" t="s">
        <v>31</v>
      </c>
      <c r="K12" s="158" t="s">
        <v>30</v>
      </c>
      <c r="L12" s="151" t="s">
        <v>29</v>
      </c>
    </row>
    <row r="13" spans="1:13" ht="103.5">
      <c r="A13" s="159">
        <v>1</v>
      </c>
      <c r="B13" s="78" t="s">
        <v>260</v>
      </c>
      <c r="C13" s="78" t="s">
        <v>261</v>
      </c>
      <c r="D13" s="79" t="s">
        <v>15</v>
      </c>
      <c r="E13" s="79" t="s">
        <v>262</v>
      </c>
      <c r="F13" s="80">
        <v>55000</v>
      </c>
      <c r="G13" s="80">
        <v>1578.5</v>
      </c>
      <c r="H13" s="80">
        <v>1672</v>
      </c>
      <c r="I13" s="160">
        <v>2559.67</v>
      </c>
      <c r="J13" s="160">
        <v>25</v>
      </c>
      <c r="K13" s="160">
        <f>G13+H13+I13+J13</f>
        <v>5835.17</v>
      </c>
      <c r="L13" s="81">
        <f>F13-K13</f>
        <v>49164.83</v>
      </c>
      <c r="M13" s="58"/>
    </row>
    <row r="14" spans="1:13" ht="120.75">
      <c r="A14" s="159">
        <v>2</v>
      </c>
      <c r="B14" s="78" t="s">
        <v>263</v>
      </c>
      <c r="C14" s="78" t="s">
        <v>264</v>
      </c>
      <c r="D14" s="79" t="s">
        <v>14</v>
      </c>
      <c r="E14" s="79" t="s">
        <v>262</v>
      </c>
      <c r="F14" s="80">
        <v>55000</v>
      </c>
      <c r="G14" s="80">
        <v>1578.5</v>
      </c>
      <c r="H14" s="80">
        <v>1672</v>
      </c>
      <c r="I14" s="160">
        <v>2559.67</v>
      </c>
      <c r="J14" s="160">
        <v>25</v>
      </c>
      <c r="K14" s="160">
        <f t="shared" ref="K14:K16" si="0">G14+H14+I14+J14</f>
        <v>5835.17</v>
      </c>
      <c r="L14" s="81">
        <f t="shared" ref="L14:L16" si="1">F14-K14</f>
        <v>49164.83</v>
      </c>
      <c r="M14" s="58"/>
    </row>
    <row r="15" spans="1:13" ht="120.75">
      <c r="A15" s="159">
        <v>3</v>
      </c>
      <c r="B15" s="78" t="s">
        <v>265</v>
      </c>
      <c r="C15" s="78" t="s">
        <v>264</v>
      </c>
      <c r="D15" s="79" t="s">
        <v>15</v>
      </c>
      <c r="E15" s="79" t="s">
        <v>262</v>
      </c>
      <c r="F15" s="80">
        <v>55000</v>
      </c>
      <c r="G15" s="80">
        <v>1578.5</v>
      </c>
      <c r="H15" s="80">
        <v>1672</v>
      </c>
      <c r="I15" s="160">
        <v>2559.67</v>
      </c>
      <c r="J15" s="80">
        <v>25</v>
      </c>
      <c r="K15" s="160">
        <f t="shared" si="0"/>
        <v>5835.17</v>
      </c>
      <c r="L15" s="81">
        <f t="shared" si="1"/>
        <v>49164.83</v>
      </c>
      <c r="M15" s="58"/>
    </row>
    <row r="16" spans="1:13" ht="120.75">
      <c r="A16" s="159">
        <v>4</v>
      </c>
      <c r="B16" s="78" t="s">
        <v>266</v>
      </c>
      <c r="C16" s="78" t="s">
        <v>264</v>
      </c>
      <c r="D16" s="79" t="s">
        <v>15</v>
      </c>
      <c r="E16" s="79" t="s">
        <v>262</v>
      </c>
      <c r="F16" s="80">
        <v>55000</v>
      </c>
      <c r="G16" s="80">
        <v>1578.5</v>
      </c>
      <c r="H16" s="80">
        <v>1672</v>
      </c>
      <c r="I16" s="160">
        <v>2559.67</v>
      </c>
      <c r="J16" s="80">
        <v>25</v>
      </c>
      <c r="K16" s="160">
        <f t="shared" si="0"/>
        <v>5835.17</v>
      </c>
      <c r="L16" s="81">
        <f t="shared" si="1"/>
        <v>49164.83</v>
      </c>
      <c r="M16" s="58"/>
    </row>
    <row r="17" spans="1:13" ht="34.5">
      <c r="A17" s="161" t="s">
        <v>24</v>
      </c>
      <c r="B17" s="78"/>
      <c r="C17" s="78"/>
      <c r="D17" s="79"/>
      <c r="E17" s="79"/>
      <c r="F17" s="162">
        <f>SUM(F13:F16)</f>
        <v>220000</v>
      </c>
      <c r="G17" s="162">
        <f>SUM(G12:G16)</f>
        <v>6314</v>
      </c>
      <c r="H17" s="162">
        <f>SUM(H12:H16)</f>
        <v>6688</v>
      </c>
      <c r="I17" s="162">
        <f>SUM(I13:I16)</f>
        <v>10238.68</v>
      </c>
      <c r="J17" s="163">
        <f>SUM(J12:J16)</f>
        <v>100</v>
      </c>
      <c r="K17" s="162">
        <f>SUM(K12:K16)</f>
        <v>23340.68</v>
      </c>
      <c r="L17" s="164">
        <f>SUM(L13:L16)</f>
        <v>196659.32</v>
      </c>
      <c r="M17" s="58"/>
    </row>
    <row r="18" spans="1:13" ht="35.25" thickBot="1">
      <c r="A18" s="165" t="s">
        <v>267</v>
      </c>
      <c r="B18" s="166"/>
      <c r="C18" s="166"/>
      <c r="D18" s="79"/>
      <c r="E18" s="79"/>
      <c r="F18" s="167">
        <f>+F17</f>
        <v>220000</v>
      </c>
      <c r="G18" s="167">
        <f>+G17</f>
        <v>6314</v>
      </c>
      <c r="H18" s="167">
        <f t="shared" ref="H18:K18" si="2">+H17</f>
        <v>6688</v>
      </c>
      <c r="I18" s="167">
        <v>10238.68</v>
      </c>
      <c r="J18" s="167">
        <f t="shared" si="2"/>
        <v>100</v>
      </c>
      <c r="K18" s="167">
        <f t="shared" si="2"/>
        <v>23340.68</v>
      </c>
      <c r="L18" s="167">
        <f>+L17</f>
        <v>196659.32</v>
      </c>
      <c r="M18" s="58"/>
    </row>
    <row r="19" spans="1:13" ht="16.5" thickTop="1">
      <c r="A19" s="168"/>
      <c r="D19" s="32"/>
      <c r="E19" s="168"/>
      <c r="I19" s="169"/>
      <c r="M19" s="58"/>
    </row>
    <row r="20" spans="1:13" ht="15.75">
      <c r="A20" s="168"/>
      <c r="D20" s="32"/>
      <c r="E20" s="168"/>
      <c r="M20" s="58"/>
    </row>
    <row r="21" spans="1:13" ht="17.25">
      <c r="A21" s="165"/>
      <c r="B21" s="166"/>
      <c r="C21" s="166"/>
      <c r="D21" s="79"/>
      <c r="E21" s="79"/>
      <c r="F21" s="170"/>
      <c r="G21" s="171"/>
      <c r="H21" s="171"/>
      <c r="I21" s="170"/>
      <c r="J21" s="172"/>
      <c r="K21" s="170"/>
      <c r="L21" s="170"/>
      <c r="M21" s="58"/>
    </row>
    <row r="22" spans="1:13" ht="17.25">
      <c r="A22" s="15" t="s">
        <v>21</v>
      </c>
      <c r="B22" s="15"/>
      <c r="C22" s="15"/>
      <c r="D22" s="15"/>
      <c r="E22" s="15"/>
      <c r="F22" s="17" t="s">
        <v>23</v>
      </c>
      <c r="G22" s="17"/>
      <c r="H22" s="17"/>
      <c r="I22" s="58"/>
      <c r="J22" s="133" t="s">
        <v>22</v>
      </c>
      <c r="K22" s="133"/>
      <c r="L22" s="133"/>
      <c r="M22" s="133"/>
    </row>
    <row r="23" spans="1:13" ht="17.25">
      <c r="A23" s="173"/>
      <c r="B23" s="15"/>
      <c r="C23" s="15"/>
      <c r="D23" s="15"/>
      <c r="E23" s="15"/>
      <c r="F23" s="15"/>
      <c r="G23" s="92"/>
      <c r="H23" s="92"/>
      <c r="I23" s="92"/>
      <c r="J23" s="92"/>
      <c r="K23" s="92"/>
      <c r="L23" s="92"/>
      <c r="M23" s="174"/>
    </row>
    <row r="24" spans="1:13" ht="17.25">
      <c r="A24" s="175" t="s">
        <v>268</v>
      </c>
      <c r="B24" s="15"/>
      <c r="C24" s="15"/>
      <c r="D24" s="15"/>
      <c r="E24" s="15"/>
      <c r="F24" s="91" t="s">
        <v>8</v>
      </c>
      <c r="G24" s="17"/>
      <c r="H24" s="17"/>
      <c r="I24" s="17"/>
      <c r="J24" s="135" t="s">
        <v>34</v>
      </c>
      <c r="K24" s="135"/>
      <c r="L24" s="135"/>
      <c r="M24" s="135"/>
    </row>
    <row r="25" spans="1:13" ht="17.25">
      <c r="A25" s="15" t="s">
        <v>269</v>
      </c>
      <c r="B25" s="15"/>
      <c r="C25" s="15"/>
      <c r="D25" s="15"/>
      <c r="E25" s="15"/>
      <c r="F25" s="15" t="s">
        <v>25</v>
      </c>
      <c r="G25" s="17"/>
      <c r="H25" s="17"/>
      <c r="I25" s="17"/>
      <c r="J25" s="133" t="s">
        <v>7</v>
      </c>
      <c r="K25" s="133"/>
      <c r="L25" s="133"/>
      <c r="M25" s="133"/>
    </row>
    <row r="26" spans="1:13" ht="17.25">
      <c r="A26" s="165"/>
      <c r="B26" s="166"/>
      <c r="C26" s="166"/>
      <c r="D26" s="79"/>
      <c r="E26" s="79"/>
      <c r="F26" s="170"/>
      <c r="G26" s="171"/>
      <c r="H26" s="171"/>
      <c r="I26" s="170"/>
      <c r="J26" s="172"/>
      <c r="K26" s="170"/>
      <c r="L26" s="170"/>
      <c r="M26" s="58"/>
    </row>
    <row r="27" spans="1:13" ht="17.25">
      <c r="A27" s="165"/>
      <c r="B27" s="166"/>
      <c r="C27" s="166"/>
      <c r="D27" s="79"/>
      <c r="E27" s="79"/>
      <c r="F27" s="170"/>
      <c r="G27" s="171"/>
      <c r="H27" s="171"/>
      <c r="I27" s="170"/>
      <c r="J27" s="172"/>
      <c r="K27" s="170"/>
      <c r="L27" s="170"/>
      <c r="M27" s="58"/>
    </row>
    <row r="28" spans="1:13" ht="17.25">
      <c r="A28" s="165"/>
      <c r="B28" s="166"/>
      <c r="C28" s="166"/>
      <c r="D28" s="79"/>
      <c r="E28" s="79"/>
      <c r="F28" s="170"/>
      <c r="G28" s="171"/>
      <c r="H28" s="171"/>
      <c r="I28" s="170"/>
      <c r="J28" s="172"/>
      <c r="K28" s="170"/>
      <c r="L28" s="170"/>
      <c r="M28" s="58"/>
    </row>
    <row r="29" spans="1:13" ht="17.25">
      <c r="A29" s="165"/>
      <c r="B29" s="166"/>
      <c r="C29" s="166"/>
      <c r="D29" s="79"/>
      <c r="E29" s="79"/>
      <c r="F29" s="170"/>
      <c r="G29" s="171"/>
      <c r="H29" s="171"/>
      <c r="I29" s="170"/>
      <c r="J29" s="172"/>
      <c r="K29" s="170"/>
      <c r="L29" s="170"/>
      <c r="M29" s="58"/>
    </row>
    <row r="30" spans="1:13" ht="17.25">
      <c r="A30" s="165"/>
      <c r="B30" s="166"/>
      <c r="C30" s="166"/>
      <c r="D30" s="79"/>
      <c r="E30" s="79"/>
      <c r="F30" s="170"/>
      <c r="G30" s="171"/>
      <c r="H30" s="171"/>
      <c r="I30" s="170"/>
      <c r="J30" s="172"/>
      <c r="K30" s="170"/>
      <c r="L30" s="170"/>
      <c r="M30" s="58"/>
    </row>
  </sheetData>
  <mergeCells count="5">
    <mergeCell ref="A4:L9"/>
    <mergeCell ref="A11:L11"/>
    <mergeCell ref="J22:M22"/>
    <mergeCell ref="J24:M24"/>
    <mergeCell ref="J25:M2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8BFA-8E49-4638-B659-342BAA75842C}">
  <dimension ref="A4:M29"/>
  <sheetViews>
    <sheetView topLeftCell="D1" workbookViewId="0">
      <selection activeCell="A4" sqref="A4:M29"/>
    </sheetView>
  </sheetViews>
  <sheetFormatPr baseColWidth="10" defaultRowHeight="15"/>
  <cols>
    <col min="2" max="2" width="22.7109375" bestFit="1" customWidth="1"/>
    <col min="3" max="3" width="28.140625" customWidth="1"/>
    <col min="5" max="5" width="20.28515625" customWidth="1"/>
    <col min="6" max="6" width="29.7109375" customWidth="1"/>
    <col min="10" max="10" width="18.28515625" customWidth="1"/>
    <col min="11" max="11" width="24.5703125" customWidth="1"/>
    <col min="12" max="12" width="19.42578125" customWidth="1"/>
  </cols>
  <sheetData>
    <row r="4" spans="1:13">
      <c r="A4" s="142" t="s">
        <v>270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4"/>
    </row>
    <row r="5" spans="1:13">
      <c r="A5" s="145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46"/>
    </row>
    <row r="6" spans="1:13">
      <c r="A6" s="145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46"/>
    </row>
    <row r="7" spans="1:13">
      <c r="A7" s="145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46"/>
    </row>
    <row r="8" spans="1:13">
      <c r="A8" s="145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46"/>
    </row>
    <row r="9" spans="1:13" ht="15.75" thickBot="1">
      <c r="A9" s="147"/>
      <c r="B9" s="148"/>
      <c r="C9" s="148"/>
      <c r="D9" s="148"/>
      <c r="E9" s="148"/>
      <c r="F9" s="148"/>
      <c r="G9" s="148"/>
      <c r="H9" s="148"/>
      <c r="I9" s="148"/>
      <c r="J9" s="148"/>
      <c r="K9" s="128"/>
      <c r="L9" s="146"/>
    </row>
    <row r="10" spans="1:13" ht="21" thickBot="1">
      <c r="A10" s="149" t="s">
        <v>257</v>
      </c>
      <c r="B10" s="149" t="s">
        <v>26</v>
      </c>
      <c r="C10" s="149" t="s">
        <v>16</v>
      </c>
      <c r="D10" s="149" t="s">
        <v>17</v>
      </c>
      <c r="E10" s="149" t="s">
        <v>18</v>
      </c>
      <c r="F10" s="149" t="s">
        <v>27</v>
      </c>
      <c r="G10" s="149" t="s">
        <v>19</v>
      </c>
      <c r="H10" s="149" t="s">
        <v>10</v>
      </c>
      <c r="I10" s="149" t="s">
        <v>258</v>
      </c>
      <c r="J10" s="150" t="s">
        <v>20</v>
      </c>
      <c r="K10" s="151"/>
      <c r="L10" s="152"/>
    </row>
    <row r="11" spans="1:13" ht="31.5" thickBot="1">
      <c r="A11" s="153" t="s">
        <v>259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5"/>
      <c r="L11" s="156"/>
    </row>
    <row r="12" spans="1:13" ht="21" thickBot="1">
      <c r="A12" s="157" t="s">
        <v>0</v>
      </c>
      <c r="B12" s="158" t="s">
        <v>1</v>
      </c>
      <c r="C12" s="158" t="s">
        <v>2</v>
      </c>
      <c r="D12" s="158" t="s">
        <v>13</v>
      </c>
      <c r="E12" s="158" t="s">
        <v>3</v>
      </c>
      <c r="F12" s="158" t="s">
        <v>28</v>
      </c>
      <c r="G12" s="158" t="s">
        <v>4</v>
      </c>
      <c r="H12" s="158" t="s">
        <v>5</v>
      </c>
      <c r="I12" s="158" t="s">
        <v>6</v>
      </c>
      <c r="J12" s="158" t="s">
        <v>31</v>
      </c>
      <c r="K12" s="158" t="s">
        <v>30</v>
      </c>
      <c r="L12" s="151" t="s">
        <v>29</v>
      </c>
    </row>
    <row r="13" spans="1:13" ht="69">
      <c r="A13" s="159">
        <v>1</v>
      </c>
      <c r="B13" s="78" t="s">
        <v>271</v>
      </c>
      <c r="C13" s="78" t="s">
        <v>272</v>
      </c>
      <c r="D13" s="79" t="s">
        <v>14</v>
      </c>
      <c r="E13" s="79" t="s">
        <v>273</v>
      </c>
      <c r="F13" s="80">
        <v>20000</v>
      </c>
      <c r="G13" s="160">
        <v>0</v>
      </c>
      <c r="H13" s="160">
        <v>0</v>
      </c>
      <c r="I13" s="160">
        <v>0</v>
      </c>
      <c r="J13" s="160">
        <v>0</v>
      </c>
      <c r="K13" s="160">
        <f>+G13+H13+I13+J13</f>
        <v>0</v>
      </c>
      <c r="L13" s="81">
        <f>F13-K13</f>
        <v>20000</v>
      </c>
      <c r="M13" s="58"/>
    </row>
    <row r="14" spans="1:13" ht="69">
      <c r="A14" s="159">
        <v>2</v>
      </c>
      <c r="B14" s="78" t="s">
        <v>274</v>
      </c>
      <c r="C14" s="78" t="s">
        <v>275</v>
      </c>
      <c r="D14" s="79" t="s">
        <v>14</v>
      </c>
      <c r="E14" s="79" t="s">
        <v>273</v>
      </c>
      <c r="F14" s="80">
        <v>16000</v>
      </c>
      <c r="G14" s="160">
        <v>0</v>
      </c>
      <c r="H14" s="160">
        <v>0</v>
      </c>
      <c r="I14" s="160">
        <v>0</v>
      </c>
      <c r="J14" s="160">
        <v>0</v>
      </c>
      <c r="K14" s="160">
        <f t="shared" ref="K14:K17" si="0">+G14+H14+I14+J14</f>
        <v>0</v>
      </c>
      <c r="L14" s="81">
        <v>16000</v>
      </c>
      <c r="M14" s="58"/>
    </row>
    <row r="15" spans="1:13" ht="69">
      <c r="A15" s="159">
        <v>3</v>
      </c>
      <c r="B15" s="78" t="s">
        <v>276</v>
      </c>
      <c r="C15" s="78" t="s">
        <v>275</v>
      </c>
      <c r="D15" s="79" t="s">
        <v>15</v>
      </c>
      <c r="E15" s="79" t="s">
        <v>273</v>
      </c>
      <c r="F15" s="80">
        <v>16000</v>
      </c>
      <c r="G15" s="160">
        <v>0</v>
      </c>
      <c r="H15" s="160">
        <v>0</v>
      </c>
      <c r="I15" s="160">
        <v>0</v>
      </c>
      <c r="J15" s="80">
        <v>8417.6</v>
      </c>
      <c r="K15" s="80">
        <f t="shared" si="0"/>
        <v>8417.6</v>
      </c>
      <c r="L15" s="81">
        <f>F15-K15</f>
        <v>7582.4</v>
      </c>
      <c r="M15" s="58"/>
    </row>
    <row r="16" spans="1:13" ht="86.25">
      <c r="A16" s="159">
        <v>4</v>
      </c>
      <c r="B16" s="78" t="s">
        <v>277</v>
      </c>
      <c r="C16" s="78" t="s">
        <v>278</v>
      </c>
      <c r="D16" s="79" t="s">
        <v>14</v>
      </c>
      <c r="E16" s="79" t="s">
        <v>273</v>
      </c>
      <c r="F16" s="80">
        <v>18000</v>
      </c>
      <c r="G16" s="160">
        <v>0</v>
      </c>
      <c r="H16" s="160">
        <v>0</v>
      </c>
      <c r="I16" s="160">
        <v>0</v>
      </c>
      <c r="J16" s="80">
        <v>6330.93</v>
      </c>
      <c r="K16" s="80">
        <f t="shared" si="0"/>
        <v>6330.93</v>
      </c>
      <c r="L16" s="81">
        <f>F16-K16</f>
        <v>11669.07</v>
      </c>
      <c r="M16" s="58"/>
    </row>
    <row r="17" spans="1:13" ht="69">
      <c r="A17" s="159">
        <v>5</v>
      </c>
      <c r="B17" s="78" t="s">
        <v>279</v>
      </c>
      <c r="C17" s="78" t="s">
        <v>280</v>
      </c>
      <c r="D17" s="79" t="s">
        <v>14</v>
      </c>
      <c r="E17" s="79" t="s">
        <v>273</v>
      </c>
      <c r="F17" s="80">
        <v>12500</v>
      </c>
      <c r="G17" s="160">
        <v>0</v>
      </c>
      <c r="H17" s="160">
        <v>0</v>
      </c>
      <c r="I17" s="160">
        <v>0</v>
      </c>
      <c r="J17" s="80">
        <v>1200</v>
      </c>
      <c r="K17" s="80">
        <f t="shared" si="0"/>
        <v>1200</v>
      </c>
      <c r="L17" s="81">
        <f t="shared" ref="L17" si="1">F17-K17</f>
        <v>11300</v>
      </c>
      <c r="M17" s="58"/>
    </row>
    <row r="18" spans="1:13" ht="34.5">
      <c r="A18" s="161" t="s">
        <v>24</v>
      </c>
      <c r="B18" s="78"/>
      <c r="C18" s="78"/>
      <c r="D18" s="79"/>
      <c r="E18" s="79"/>
      <c r="F18" s="162">
        <f>SUM(F13:F17)</f>
        <v>82500</v>
      </c>
      <c r="G18" s="176">
        <f>SUM(G12:G17)</f>
        <v>0</v>
      </c>
      <c r="H18" s="176">
        <f>SUM(H12:H17)</f>
        <v>0</v>
      </c>
      <c r="I18" s="177" t="s">
        <v>281</v>
      </c>
      <c r="J18" s="163">
        <f>SUM(J12:J17)</f>
        <v>15948.53</v>
      </c>
      <c r="K18" s="162">
        <f>SUM(K12:K17)</f>
        <v>15948.53</v>
      </c>
      <c r="L18" s="164">
        <f>SUM(L13:L17)</f>
        <v>66551.47</v>
      </c>
      <c r="M18" s="58"/>
    </row>
    <row r="19" spans="1:13" ht="34.5">
      <c r="A19" s="178" t="s">
        <v>267</v>
      </c>
      <c r="B19" s="179"/>
      <c r="C19" s="179"/>
      <c r="D19" s="180"/>
      <c r="E19" s="180"/>
      <c r="F19" s="162">
        <f>+F18</f>
        <v>82500</v>
      </c>
      <c r="G19" s="176">
        <f>+G18</f>
        <v>0</v>
      </c>
      <c r="H19" s="176">
        <f t="shared" ref="H19:K19" si="2">+H18</f>
        <v>0</v>
      </c>
      <c r="I19" s="162" t="str">
        <f t="shared" si="2"/>
        <v>0.00</v>
      </c>
      <c r="J19" s="162">
        <f t="shared" si="2"/>
        <v>15948.53</v>
      </c>
      <c r="K19" s="162">
        <f t="shared" si="2"/>
        <v>15948.53</v>
      </c>
      <c r="L19" s="164">
        <f>+L18</f>
        <v>66551.47</v>
      </c>
      <c r="M19" s="58"/>
    </row>
    <row r="20" spans="1:13" ht="15.75">
      <c r="A20" s="168"/>
      <c r="D20" s="32"/>
      <c r="E20" s="168"/>
      <c r="M20" s="58"/>
    </row>
    <row r="21" spans="1:13" ht="15.75">
      <c r="A21" s="168"/>
      <c r="D21" s="32"/>
      <c r="E21" s="168"/>
      <c r="M21" s="58"/>
    </row>
    <row r="22" spans="1:13" ht="17.25">
      <c r="A22" s="165"/>
      <c r="B22" s="166"/>
      <c r="C22" s="166"/>
      <c r="D22" s="79"/>
      <c r="E22" s="79"/>
      <c r="F22" s="170"/>
      <c r="G22" s="171"/>
      <c r="H22" s="171"/>
      <c r="I22" s="170"/>
      <c r="J22" s="172"/>
      <c r="K22" s="170"/>
      <c r="L22" s="170"/>
      <c r="M22" s="58"/>
    </row>
    <row r="23" spans="1:13" ht="17.25">
      <c r="A23" s="15" t="s">
        <v>21</v>
      </c>
      <c r="B23" s="15"/>
      <c r="C23" s="15"/>
      <c r="D23" s="15"/>
      <c r="E23" s="15"/>
      <c r="F23" s="17" t="s">
        <v>23</v>
      </c>
      <c r="G23" s="17"/>
      <c r="H23" s="17"/>
      <c r="I23" s="58"/>
      <c r="J23" s="133" t="s">
        <v>22</v>
      </c>
      <c r="K23" s="133"/>
      <c r="L23" s="133"/>
      <c r="M23" s="133"/>
    </row>
    <row r="24" spans="1:13" ht="17.25">
      <c r="A24" s="173"/>
      <c r="B24" s="15"/>
      <c r="C24" s="15"/>
      <c r="D24" s="15"/>
      <c r="E24" s="15"/>
      <c r="F24" s="15"/>
      <c r="G24" s="92"/>
      <c r="H24" s="92"/>
      <c r="I24" s="92"/>
      <c r="J24" s="92"/>
      <c r="K24" s="92"/>
      <c r="L24" s="92"/>
      <c r="M24" s="174"/>
    </row>
    <row r="25" spans="1:13" ht="17.25">
      <c r="A25" s="175" t="s">
        <v>268</v>
      </c>
      <c r="B25" s="15"/>
      <c r="C25" s="15"/>
      <c r="D25" s="15"/>
      <c r="E25" s="15"/>
      <c r="F25" s="91" t="s">
        <v>8</v>
      </c>
      <c r="G25" s="17"/>
      <c r="H25" s="17"/>
      <c r="I25" s="17"/>
      <c r="J25" s="135" t="s">
        <v>34</v>
      </c>
      <c r="K25" s="135"/>
      <c r="L25" s="135"/>
      <c r="M25" s="135"/>
    </row>
    <row r="26" spans="1:13" ht="17.25">
      <c r="A26" s="15" t="s">
        <v>269</v>
      </c>
      <c r="B26" s="15"/>
      <c r="C26" s="15"/>
      <c r="D26" s="15"/>
      <c r="E26" s="15"/>
      <c r="F26" s="15" t="s">
        <v>25</v>
      </c>
      <c r="G26" s="17"/>
      <c r="H26" s="17"/>
      <c r="I26" s="17"/>
      <c r="J26" s="133" t="s">
        <v>7</v>
      </c>
      <c r="K26" s="133"/>
      <c r="L26" s="133"/>
      <c r="M26" s="133"/>
    </row>
    <row r="27" spans="1:13" ht="17.25">
      <c r="A27" s="165"/>
      <c r="B27" s="166"/>
      <c r="C27" s="166"/>
      <c r="D27" s="79"/>
      <c r="E27" s="79"/>
      <c r="F27" s="170"/>
      <c r="G27" s="171"/>
      <c r="H27" s="171"/>
      <c r="I27" s="170"/>
      <c r="J27" s="172"/>
      <c r="K27" s="170"/>
      <c r="L27" s="170"/>
      <c r="M27" s="58"/>
    </row>
    <row r="28" spans="1:13" ht="17.25">
      <c r="A28" s="165"/>
      <c r="B28" s="166"/>
      <c r="C28" s="166"/>
      <c r="D28" s="79"/>
      <c r="E28" s="79"/>
      <c r="F28" s="170"/>
      <c r="G28" s="171"/>
      <c r="H28" s="171"/>
      <c r="I28" s="170"/>
      <c r="J28" s="172"/>
      <c r="K28" s="170"/>
      <c r="L28" s="170"/>
      <c r="M28" s="58"/>
    </row>
    <row r="29" spans="1:13" ht="17.25">
      <c r="A29" s="165"/>
      <c r="B29" s="166"/>
      <c r="C29" s="166"/>
      <c r="D29" s="79"/>
      <c r="E29" s="79"/>
      <c r="F29" s="170"/>
      <c r="G29" s="171"/>
      <c r="H29" s="171"/>
      <c r="I29" s="170"/>
      <c r="J29" s="172"/>
      <c r="K29" s="170"/>
      <c r="L29" s="170"/>
      <c r="M29" s="58"/>
    </row>
  </sheetData>
  <mergeCells count="5">
    <mergeCell ref="A4:L9"/>
    <mergeCell ref="A11:L11"/>
    <mergeCell ref="J23:M23"/>
    <mergeCell ref="J25:M25"/>
    <mergeCell ref="J26:M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6254-9D5F-42BC-8017-AF41239CBC1A}">
  <dimension ref="B4:O124"/>
  <sheetViews>
    <sheetView tabSelected="1" workbookViewId="0">
      <selection activeCell="B5" sqref="B5:O124"/>
    </sheetView>
  </sheetViews>
  <sheetFormatPr baseColWidth="10" defaultRowHeight="15"/>
  <sheetData>
    <row r="4" spans="2:14" ht="15.75" thickBot="1"/>
    <row r="5" spans="2:14">
      <c r="B5" s="124" t="s">
        <v>282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6"/>
    </row>
    <row r="6" spans="2:14">
      <c r="B6" s="127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9"/>
    </row>
    <row r="7" spans="2:14">
      <c r="B7" s="127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9"/>
    </row>
    <row r="8" spans="2:14">
      <c r="B8" s="127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9"/>
    </row>
    <row r="9" spans="2:14">
      <c r="B9" s="127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9"/>
    </row>
    <row r="10" spans="2:14">
      <c r="B10" s="127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9"/>
    </row>
    <row r="11" spans="2:14" ht="20.25">
      <c r="B11" s="181" t="s">
        <v>257</v>
      </c>
      <c r="C11" s="181" t="s">
        <v>26</v>
      </c>
      <c r="D11" s="181" t="s">
        <v>16</v>
      </c>
      <c r="E11" s="181" t="s">
        <v>17</v>
      </c>
      <c r="F11" s="181" t="s">
        <v>18</v>
      </c>
      <c r="G11" s="181"/>
      <c r="H11" s="181" t="s">
        <v>27</v>
      </c>
      <c r="I11" s="181" t="s">
        <v>19</v>
      </c>
      <c r="J11" s="181" t="s">
        <v>10</v>
      </c>
      <c r="K11" s="181" t="s">
        <v>283</v>
      </c>
      <c r="L11" s="181" t="s">
        <v>20</v>
      </c>
      <c r="M11" s="181"/>
      <c r="N11" s="181"/>
    </row>
    <row r="12" spans="2:14" ht="26.25">
      <c r="B12" s="182" t="s">
        <v>284</v>
      </c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2"/>
    </row>
    <row r="13" spans="2:14" ht="18">
      <c r="B13" s="183" t="s">
        <v>0</v>
      </c>
      <c r="C13" s="184" t="s">
        <v>1</v>
      </c>
      <c r="D13" s="184" t="s">
        <v>2</v>
      </c>
      <c r="E13" s="184" t="s">
        <v>13</v>
      </c>
      <c r="F13" s="184" t="s">
        <v>3</v>
      </c>
      <c r="G13" s="184" t="s">
        <v>285</v>
      </c>
      <c r="H13" s="184" t="s">
        <v>28</v>
      </c>
      <c r="I13" s="184" t="s">
        <v>4</v>
      </c>
      <c r="J13" s="184" t="s">
        <v>6</v>
      </c>
      <c r="K13" s="184" t="s">
        <v>5</v>
      </c>
      <c r="L13" s="184" t="s">
        <v>31</v>
      </c>
      <c r="M13" s="184" t="s">
        <v>30</v>
      </c>
      <c r="N13" s="185" t="s">
        <v>29</v>
      </c>
    </row>
    <row r="14" spans="2:14">
      <c r="B14" s="186">
        <v>1</v>
      </c>
      <c r="C14" s="187" t="s">
        <v>286</v>
      </c>
      <c r="D14" s="187" t="s">
        <v>287</v>
      </c>
      <c r="E14" s="188" t="s">
        <v>14</v>
      </c>
      <c r="F14" s="188" t="s">
        <v>288</v>
      </c>
      <c r="G14" s="188" t="s">
        <v>289</v>
      </c>
      <c r="H14" s="189">
        <v>45000</v>
      </c>
      <c r="I14" s="189">
        <v>1291.5</v>
      </c>
      <c r="J14" s="190" t="s">
        <v>281</v>
      </c>
      <c r="K14" s="191">
        <v>1368</v>
      </c>
      <c r="L14" s="189">
        <v>2776.63</v>
      </c>
      <c r="M14" s="191">
        <f>I14+J14+K14+L14</f>
        <v>5436.13</v>
      </c>
      <c r="N14" s="192">
        <f>+H14-M14</f>
        <v>39563.870000000003</v>
      </c>
    </row>
    <row r="15" spans="2:14" ht="120">
      <c r="B15" s="186">
        <v>2</v>
      </c>
      <c r="C15" s="193" t="s">
        <v>290</v>
      </c>
      <c r="D15" s="193" t="s">
        <v>291</v>
      </c>
      <c r="E15" s="188" t="s">
        <v>15</v>
      </c>
      <c r="F15" s="188" t="s">
        <v>288</v>
      </c>
      <c r="G15" s="188" t="s">
        <v>289</v>
      </c>
      <c r="H15" s="194">
        <v>115000</v>
      </c>
      <c r="I15" s="194">
        <f>H15*2.87%</f>
        <v>3300.5</v>
      </c>
      <c r="J15" s="194">
        <v>15633.81</v>
      </c>
      <c r="K15" s="194">
        <v>3496</v>
      </c>
      <c r="L15" s="194">
        <v>5701.45</v>
      </c>
      <c r="M15" s="194">
        <f t="shared" ref="M15" si="0">I15+J15+K15+L15</f>
        <v>28131.759999999998</v>
      </c>
      <c r="N15" s="195">
        <f>+H15-M15</f>
        <v>86868.24</v>
      </c>
    </row>
    <row r="16" spans="2:14" ht="31.5">
      <c r="B16" s="196" t="s">
        <v>24</v>
      </c>
      <c r="C16" s="197"/>
      <c r="D16" s="197"/>
      <c r="E16" s="197"/>
      <c r="F16" s="197"/>
      <c r="G16" s="197" t="s">
        <v>292</v>
      </c>
      <c r="H16" s="198">
        <f t="shared" ref="H16:N16" si="1">SUM(H14:H15)</f>
        <v>160000</v>
      </c>
      <c r="I16" s="198">
        <f t="shared" si="1"/>
        <v>4592</v>
      </c>
      <c r="J16" s="199">
        <f t="shared" si="1"/>
        <v>15633.81</v>
      </c>
      <c r="K16" s="198">
        <f t="shared" si="1"/>
        <v>4864</v>
      </c>
      <c r="L16" s="198">
        <f t="shared" si="1"/>
        <v>8478.08</v>
      </c>
      <c r="M16" s="198">
        <f t="shared" si="1"/>
        <v>33567.89</v>
      </c>
      <c r="N16" s="198">
        <f t="shared" si="1"/>
        <v>126432.11000000002</v>
      </c>
    </row>
    <row r="17" spans="2:14">
      <c r="E17" s="32"/>
      <c r="F17" s="32"/>
    </row>
    <row r="18" spans="2:14" ht="27" thickBot="1">
      <c r="B18" s="200" t="s">
        <v>293</v>
      </c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2"/>
    </row>
    <row r="19" spans="2:14" ht="18.75" thickBot="1">
      <c r="B19" s="203" t="s">
        <v>0</v>
      </c>
      <c r="C19" s="203" t="s">
        <v>1</v>
      </c>
      <c r="D19" s="203" t="s">
        <v>2</v>
      </c>
      <c r="E19" s="203" t="s">
        <v>13</v>
      </c>
      <c r="F19" s="203" t="s">
        <v>3</v>
      </c>
      <c r="G19" s="203" t="s">
        <v>285</v>
      </c>
      <c r="H19" s="203" t="s">
        <v>28</v>
      </c>
      <c r="I19" s="203" t="s">
        <v>4</v>
      </c>
      <c r="J19" s="203" t="s">
        <v>6</v>
      </c>
      <c r="K19" s="203" t="s">
        <v>5</v>
      </c>
      <c r="L19" s="203" t="s">
        <v>31</v>
      </c>
      <c r="M19" s="203" t="s">
        <v>30</v>
      </c>
      <c r="N19" s="203" t="s">
        <v>29</v>
      </c>
    </row>
    <row r="20" spans="2:14" ht="90">
      <c r="B20" s="188">
        <v>3</v>
      </c>
      <c r="C20" s="187" t="s">
        <v>294</v>
      </c>
      <c r="D20" s="193" t="s">
        <v>35</v>
      </c>
      <c r="E20" s="188" t="s">
        <v>15</v>
      </c>
      <c r="F20" s="188" t="s">
        <v>288</v>
      </c>
      <c r="G20" s="188" t="s">
        <v>289</v>
      </c>
      <c r="H20" s="204">
        <v>55000</v>
      </c>
      <c r="I20" s="204">
        <v>1578.5</v>
      </c>
      <c r="J20" s="205" t="s">
        <v>281</v>
      </c>
      <c r="K20" s="194">
        <v>1672</v>
      </c>
      <c r="L20" s="204">
        <v>18358.21</v>
      </c>
      <c r="M20" s="194">
        <f>I20+J20+K20+L20</f>
        <v>21608.71</v>
      </c>
      <c r="N20" s="204">
        <f>+H20-M20</f>
        <v>33391.29</v>
      </c>
    </row>
    <row r="21" spans="2:14" ht="31.5">
      <c r="B21" s="206" t="s">
        <v>24</v>
      </c>
      <c r="C21" s="197"/>
      <c r="D21" s="197"/>
      <c r="E21" s="197"/>
      <c r="F21" s="197"/>
      <c r="G21" s="197" t="s">
        <v>292</v>
      </c>
      <c r="H21" s="207">
        <f t="shared" ref="H21:N21" si="2">SUM(H20:H20)</f>
        <v>55000</v>
      </c>
      <c r="I21" s="207">
        <f t="shared" si="2"/>
        <v>1578.5</v>
      </c>
      <c r="J21" s="208" t="s">
        <v>281</v>
      </c>
      <c r="K21" s="198">
        <f t="shared" si="2"/>
        <v>1672</v>
      </c>
      <c r="L21" s="198">
        <f t="shared" si="2"/>
        <v>18358.21</v>
      </c>
      <c r="M21" s="198">
        <f t="shared" si="2"/>
        <v>21608.71</v>
      </c>
      <c r="N21" s="198">
        <f t="shared" si="2"/>
        <v>33391.29</v>
      </c>
    </row>
    <row r="22" spans="2:14" ht="15.75">
      <c r="B22" s="206"/>
      <c r="C22" s="197"/>
      <c r="D22" s="197"/>
      <c r="E22" s="197"/>
      <c r="F22" s="197"/>
      <c r="G22" s="197"/>
      <c r="H22" s="207"/>
      <c r="I22" s="207"/>
      <c r="J22" s="208"/>
      <c r="K22" s="198"/>
      <c r="L22" s="198"/>
      <c r="M22" s="198"/>
      <c r="N22" s="198"/>
    </row>
    <row r="23" spans="2:14" ht="27" thickBot="1">
      <c r="B23" s="200" t="s">
        <v>295</v>
      </c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2"/>
    </row>
    <row r="24" spans="2:14" ht="18.75" thickBot="1">
      <c r="B24" s="209" t="s">
        <v>0</v>
      </c>
      <c r="C24" s="209" t="s">
        <v>1</v>
      </c>
      <c r="D24" s="209" t="s">
        <v>2</v>
      </c>
      <c r="E24" s="209" t="s">
        <v>13</v>
      </c>
      <c r="F24" s="209" t="s">
        <v>3</v>
      </c>
      <c r="G24" s="209" t="s">
        <v>285</v>
      </c>
      <c r="H24" s="210" t="s">
        <v>28</v>
      </c>
      <c r="I24" s="210" t="s">
        <v>4</v>
      </c>
      <c r="J24" s="210" t="s">
        <v>6</v>
      </c>
      <c r="K24" s="210" t="s">
        <v>5</v>
      </c>
      <c r="L24" s="210" t="s">
        <v>31</v>
      </c>
      <c r="M24" s="210" t="s">
        <v>30</v>
      </c>
      <c r="N24" s="210" t="s">
        <v>29</v>
      </c>
    </row>
    <row r="25" spans="2:14" ht="60">
      <c r="B25" s="188">
        <v>4</v>
      </c>
      <c r="C25" s="193" t="s">
        <v>296</v>
      </c>
      <c r="D25" s="193" t="s">
        <v>36</v>
      </c>
      <c r="E25" s="188" t="s">
        <v>14</v>
      </c>
      <c r="F25" s="188" t="s">
        <v>288</v>
      </c>
      <c r="G25" s="188" t="s">
        <v>297</v>
      </c>
      <c r="H25" s="191">
        <v>55000</v>
      </c>
      <c r="I25" s="191">
        <v>1578.5</v>
      </c>
      <c r="J25" s="191">
        <v>0</v>
      </c>
      <c r="K25" s="191">
        <v>1672</v>
      </c>
      <c r="L25" s="191">
        <v>225</v>
      </c>
      <c r="M25" s="191">
        <f>I25+J25+K25+L25</f>
        <v>3475.5</v>
      </c>
      <c r="N25" s="191">
        <f>+H25-M25</f>
        <v>51524.5</v>
      </c>
    </row>
    <row r="26" spans="2:14" ht="90">
      <c r="B26" s="188">
        <v>5</v>
      </c>
      <c r="C26" s="193" t="s">
        <v>298</v>
      </c>
      <c r="D26" s="193" t="s">
        <v>299</v>
      </c>
      <c r="E26" s="188" t="s">
        <v>15</v>
      </c>
      <c r="F26" s="188" t="s">
        <v>288</v>
      </c>
      <c r="G26" s="188" t="s">
        <v>300</v>
      </c>
      <c r="H26" s="191">
        <v>122500</v>
      </c>
      <c r="I26" s="191">
        <v>3515.75</v>
      </c>
      <c r="J26" s="191">
        <v>17398</v>
      </c>
      <c r="K26" s="191">
        <v>3724</v>
      </c>
      <c r="L26" s="191">
        <v>2951.4</v>
      </c>
      <c r="M26" s="191">
        <f>I26+J26+K26+L26</f>
        <v>27589.15</v>
      </c>
      <c r="N26" s="191">
        <f>H26-M26</f>
        <v>94910.85</v>
      </c>
    </row>
    <row r="27" spans="2:14" ht="75">
      <c r="B27" s="188">
        <v>6</v>
      </c>
      <c r="C27" s="193" t="s">
        <v>301</v>
      </c>
      <c r="D27" s="193" t="s">
        <v>36</v>
      </c>
      <c r="E27" s="188" t="s">
        <v>14</v>
      </c>
      <c r="F27" s="188" t="s">
        <v>288</v>
      </c>
      <c r="G27" s="188" t="s">
        <v>302</v>
      </c>
      <c r="H27" s="191">
        <v>60000</v>
      </c>
      <c r="I27" s="191">
        <v>1722</v>
      </c>
      <c r="J27" s="191">
        <v>3486.65</v>
      </c>
      <c r="K27" s="191">
        <v>1824</v>
      </c>
      <c r="L27" s="191">
        <v>2025</v>
      </c>
      <c r="M27" s="191">
        <f>I27+J27+K27+L27</f>
        <v>9057.65</v>
      </c>
      <c r="N27" s="191">
        <f>H27-M27</f>
        <v>50942.35</v>
      </c>
    </row>
    <row r="28" spans="2:14" ht="31.5">
      <c r="B28" s="206" t="s">
        <v>24</v>
      </c>
      <c r="C28" s="197"/>
      <c r="D28" s="197"/>
      <c r="E28" s="197"/>
      <c r="F28" s="197"/>
      <c r="G28" s="197" t="s">
        <v>292</v>
      </c>
      <c r="H28" s="207">
        <f t="shared" ref="H28:N28" si="3">H25+H26+H27</f>
        <v>237500</v>
      </c>
      <c r="I28" s="207">
        <f t="shared" si="3"/>
        <v>6816.25</v>
      </c>
      <c r="J28" s="207">
        <f t="shared" si="3"/>
        <v>20884.650000000001</v>
      </c>
      <c r="K28" s="207">
        <f t="shared" si="3"/>
        <v>7220</v>
      </c>
      <c r="L28" s="207">
        <f t="shared" si="3"/>
        <v>5201.3999999999996</v>
      </c>
      <c r="M28" s="207">
        <f t="shared" si="3"/>
        <v>40122.300000000003</v>
      </c>
      <c r="N28" s="207">
        <f t="shared" si="3"/>
        <v>197377.7</v>
      </c>
    </row>
    <row r="29" spans="2:14" ht="15.75">
      <c r="B29" s="206"/>
      <c r="C29" s="197"/>
      <c r="D29" s="197"/>
      <c r="E29" s="197"/>
      <c r="F29" s="197"/>
      <c r="G29" s="197"/>
      <c r="H29" s="207"/>
      <c r="I29" s="207"/>
      <c r="J29" s="207"/>
      <c r="K29" s="207"/>
      <c r="L29" s="207"/>
      <c r="M29" s="207"/>
      <c r="N29" s="207"/>
    </row>
    <row r="30" spans="2:14" ht="27" thickBot="1">
      <c r="B30" s="200" t="s">
        <v>303</v>
      </c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2"/>
    </row>
    <row r="31" spans="2:14" ht="18.75" thickBot="1">
      <c r="B31" s="209" t="s">
        <v>0</v>
      </c>
      <c r="C31" s="209" t="s">
        <v>1</v>
      </c>
      <c r="D31" s="209" t="s">
        <v>2</v>
      </c>
      <c r="E31" s="209" t="s">
        <v>13</v>
      </c>
      <c r="F31" s="209" t="s">
        <v>3</v>
      </c>
      <c r="G31" s="209" t="s">
        <v>285</v>
      </c>
      <c r="H31" s="209" t="s">
        <v>28</v>
      </c>
      <c r="I31" s="209" t="s">
        <v>4</v>
      </c>
      <c r="J31" s="209" t="s">
        <v>6</v>
      </c>
      <c r="K31" s="209" t="s">
        <v>5</v>
      </c>
      <c r="L31" s="209" t="s">
        <v>31</v>
      </c>
      <c r="M31" s="209" t="s">
        <v>30</v>
      </c>
      <c r="N31" s="209" t="s">
        <v>29</v>
      </c>
    </row>
    <row r="32" spans="2:14" ht="135">
      <c r="B32" s="188">
        <v>7</v>
      </c>
      <c r="C32" s="193" t="s">
        <v>304</v>
      </c>
      <c r="D32" s="193" t="s">
        <v>305</v>
      </c>
      <c r="E32" s="188" t="s">
        <v>15</v>
      </c>
      <c r="F32" s="188" t="s">
        <v>288</v>
      </c>
      <c r="G32" s="188" t="s">
        <v>306</v>
      </c>
      <c r="H32" s="211">
        <v>122500</v>
      </c>
      <c r="I32" s="211">
        <v>3515.75</v>
      </c>
      <c r="J32" s="211">
        <v>16438.11</v>
      </c>
      <c r="K32" s="211">
        <v>3724</v>
      </c>
      <c r="L32" s="211">
        <v>16976.41</v>
      </c>
      <c r="M32" s="211">
        <f>I32+J32+K32+L32</f>
        <v>40654.270000000004</v>
      </c>
      <c r="N32" s="211">
        <f>+H32-M32</f>
        <v>81845.73</v>
      </c>
    </row>
    <row r="33" spans="2:14" ht="90">
      <c r="B33" s="188">
        <v>8</v>
      </c>
      <c r="C33" s="193" t="s">
        <v>307</v>
      </c>
      <c r="D33" s="193" t="s">
        <v>308</v>
      </c>
      <c r="E33" s="197" t="s">
        <v>15</v>
      </c>
      <c r="F33" s="188" t="s">
        <v>288</v>
      </c>
      <c r="G33" s="188" t="s">
        <v>289</v>
      </c>
      <c r="H33" s="191">
        <v>65000</v>
      </c>
      <c r="I33" s="191">
        <f>H33*0.0287</f>
        <v>1865.5</v>
      </c>
      <c r="J33" s="191">
        <v>4427.55</v>
      </c>
      <c r="K33" s="191">
        <v>1976</v>
      </c>
      <c r="L33" s="191">
        <v>7910.94</v>
      </c>
      <c r="M33" s="191">
        <f>I33+J33+K33+L33</f>
        <v>16179.989999999998</v>
      </c>
      <c r="N33" s="191">
        <f>H33-M33</f>
        <v>48820.01</v>
      </c>
    </row>
    <row r="34" spans="2:14" ht="90">
      <c r="B34" s="188">
        <v>9</v>
      </c>
      <c r="C34" s="193" t="s">
        <v>309</v>
      </c>
      <c r="D34" s="193" t="s">
        <v>310</v>
      </c>
      <c r="E34" s="188" t="s">
        <v>15</v>
      </c>
      <c r="F34" s="188" t="s">
        <v>288</v>
      </c>
      <c r="G34" s="188" t="s">
        <v>311</v>
      </c>
      <c r="H34" s="194">
        <v>55000</v>
      </c>
      <c r="I34" s="194">
        <v>1578.5</v>
      </c>
      <c r="J34" s="194">
        <v>0</v>
      </c>
      <c r="K34" s="194">
        <v>1672</v>
      </c>
      <c r="L34" s="194">
        <v>1125</v>
      </c>
      <c r="M34" s="194">
        <f>I34+J34+K34+L34</f>
        <v>4375.5</v>
      </c>
      <c r="N34" s="194">
        <f>H34-M34</f>
        <v>50624.5</v>
      </c>
    </row>
    <row r="35" spans="2:14" ht="31.5">
      <c r="B35" s="206" t="s">
        <v>24</v>
      </c>
      <c r="C35" s="197"/>
      <c r="D35" s="197"/>
      <c r="E35" s="197"/>
      <c r="F35" s="197"/>
      <c r="G35" s="197" t="s">
        <v>292</v>
      </c>
      <c r="H35" s="207">
        <f t="shared" ref="H35:N35" si="4">SUM(H32:H34)</f>
        <v>242500</v>
      </c>
      <c r="I35" s="207">
        <f t="shared" si="4"/>
        <v>6959.75</v>
      </c>
      <c r="J35" s="207">
        <f t="shared" si="4"/>
        <v>20865.66</v>
      </c>
      <c r="K35" s="207">
        <f t="shared" si="4"/>
        <v>7372</v>
      </c>
      <c r="L35" s="207">
        <f t="shared" si="4"/>
        <v>26012.35</v>
      </c>
      <c r="M35" s="207">
        <f t="shared" si="4"/>
        <v>61209.760000000002</v>
      </c>
      <c r="N35" s="207">
        <f t="shared" si="4"/>
        <v>181290.23999999999</v>
      </c>
    </row>
    <row r="36" spans="2:14" ht="16.5" thickBot="1">
      <c r="B36" s="206"/>
      <c r="C36" s="197"/>
      <c r="D36" s="197"/>
      <c r="E36" s="197"/>
      <c r="F36" s="197"/>
      <c r="G36" s="197"/>
      <c r="H36" s="207"/>
      <c r="I36" s="207"/>
      <c r="J36" s="207"/>
      <c r="K36" s="207"/>
      <c r="L36" s="207"/>
      <c r="M36" s="207"/>
      <c r="N36" s="207"/>
    </row>
    <row r="37" spans="2:14" ht="27" thickBot="1">
      <c r="B37" s="212" t="s">
        <v>312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4"/>
    </row>
    <row r="38" spans="2:14" ht="18.75" thickBot="1">
      <c r="B38" s="209" t="s">
        <v>0</v>
      </c>
      <c r="C38" s="209" t="s">
        <v>1</v>
      </c>
      <c r="D38" s="209" t="s">
        <v>2</v>
      </c>
      <c r="E38" s="209" t="s">
        <v>13</v>
      </c>
      <c r="F38" s="209" t="s">
        <v>3</v>
      </c>
      <c r="G38" s="209" t="s">
        <v>285</v>
      </c>
      <c r="H38" s="209" t="s">
        <v>28</v>
      </c>
      <c r="I38" s="209" t="s">
        <v>4</v>
      </c>
      <c r="J38" s="209" t="s">
        <v>6</v>
      </c>
      <c r="K38" s="209" t="s">
        <v>5</v>
      </c>
      <c r="L38" s="209" t="s">
        <v>31</v>
      </c>
      <c r="M38" s="209" t="s">
        <v>30</v>
      </c>
      <c r="N38" s="209" t="s">
        <v>29</v>
      </c>
    </row>
    <row r="39" spans="2:14" ht="75">
      <c r="B39" s="188">
        <v>10</v>
      </c>
      <c r="C39" s="193" t="s">
        <v>313</v>
      </c>
      <c r="D39" s="187" t="s">
        <v>314</v>
      </c>
      <c r="E39" s="188" t="s">
        <v>15</v>
      </c>
      <c r="F39" s="188" t="s">
        <v>288</v>
      </c>
      <c r="G39" s="188" t="s">
        <v>315</v>
      </c>
      <c r="H39" s="194">
        <v>45000</v>
      </c>
      <c r="I39" s="194">
        <f>H39*2.87%</f>
        <v>1291.5</v>
      </c>
      <c r="J39" s="194">
        <f>SUM(J41)</f>
        <v>0</v>
      </c>
      <c r="K39" s="215">
        <v>1368</v>
      </c>
      <c r="L39" s="194">
        <v>1125</v>
      </c>
      <c r="M39" s="194">
        <f>I39+J39+K39+L39</f>
        <v>3784.5</v>
      </c>
      <c r="N39" s="194">
        <f>+H39-M39</f>
        <v>41215.5</v>
      </c>
    </row>
    <row r="40" spans="2:14" ht="31.5">
      <c r="B40" s="206" t="s">
        <v>24</v>
      </c>
      <c r="C40" s="197"/>
      <c r="D40" s="197"/>
      <c r="E40" s="197"/>
      <c r="F40" s="197"/>
      <c r="G40" s="197" t="s">
        <v>292</v>
      </c>
      <c r="H40" s="207">
        <f>+H39</f>
        <v>45000</v>
      </c>
      <c r="I40" s="207">
        <f>+I39</f>
        <v>1291.5</v>
      </c>
      <c r="J40" s="208" t="s">
        <v>281</v>
      </c>
      <c r="K40" s="207">
        <v>1368</v>
      </c>
      <c r="L40" s="207">
        <f>+L39</f>
        <v>1125</v>
      </c>
      <c r="M40" s="207">
        <f>+M39</f>
        <v>3784.5</v>
      </c>
      <c r="N40" s="207">
        <f>+N39</f>
        <v>41215.5</v>
      </c>
    </row>
    <row r="41" spans="2:14" ht="15.75">
      <c r="B41" s="206"/>
      <c r="C41" s="197"/>
      <c r="D41" s="197"/>
      <c r="E41" s="197"/>
      <c r="F41" s="197"/>
      <c r="G41" s="197"/>
      <c r="H41" s="207"/>
      <c r="I41" s="207"/>
      <c r="J41" s="207"/>
      <c r="K41" s="207"/>
      <c r="L41" s="207"/>
      <c r="M41" s="207"/>
      <c r="N41" s="207"/>
    </row>
    <row r="42" spans="2:14" ht="16.5" thickBot="1">
      <c r="B42" s="206"/>
      <c r="C42" s="197"/>
      <c r="D42" s="197"/>
      <c r="E42" s="197"/>
      <c r="F42" s="197"/>
      <c r="G42" s="197"/>
      <c r="H42" s="207"/>
      <c r="I42" s="207"/>
      <c r="J42" s="207"/>
      <c r="K42" s="207"/>
      <c r="L42" s="207"/>
      <c r="M42" s="207"/>
      <c r="N42" s="207"/>
    </row>
    <row r="43" spans="2:14" ht="27" thickBot="1">
      <c r="B43" s="216" t="s">
        <v>316</v>
      </c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8"/>
    </row>
    <row r="44" spans="2:14" ht="18.75" thickBot="1">
      <c r="B44" s="219" t="s">
        <v>0</v>
      </c>
      <c r="C44" s="220" t="s">
        <v>1</v>
      </c>
      <c r="D44" s="220" t="s">
        <v>2</v>
      </c>
      <c r="E44" s="220" t="s">
        <v>13</v>
      </c>
      <c r="F44" s="220" t="s">
        <v>3</v>
      </c>
      <c r="G44" s="220" t="s">
        <v>285</v>
      </c>
      <c r="H44" s="220" t="s">
        <v>28</v>
      </c>
      <c r="I44" s="220" t="s">
        <v>4</v>
      </c>
      <c r="J44" s="220" t="s">
        <v>6</v>
      </c>
      <c r="K44" s="220" t="s">
        <v>5</v>
      </c>
      <c r="L44" s="220" t="s">
        <v>31</v>
      </c>
      <c r="M44" s="220" t="s">
        <v>30</v>
      </c>
      <c r="N44" s="221" t="s">
        <v>29</v>
      </c>
    </row>
    <row r="45" spans="2:14" ht="103.5">
      <c r="B45" s="222">
        <v>11</v>
      </c>
      <c r="C45" s="223" t="s">
        <v>317</v>
      </c>
      <c r="D45" s="223" t="s">
        <v>318</v>
      </c>
      <c r="E45" s="224" t="s">
        <v>14</v>
      </c>
      <c r="F45" s="188" t="s">
        <v>288</v>
      </c>
      <c r="G45" s="188" t="s">
        <v>289</v>
      </c>
      <c r="H45" s="225">
        <v>82500</v>
      </c>
      <c r="I45" s="225">
        <f>H45*0.0287</f>
        <v>2367.75</v>
      </c>
      <c r="J45" s="225">
        <v>7989</v>
      </c>
      <c r="K45" s="225">
        <v>2508</v>
      </c>
      <c r="L45" s="225">
        <v>15492.2</v>
      </c>
      <c r="M45" s="225">
        <f>SUM(I45:L45)</f>
        <v>28356.95</v>
      </c>
      <c r="N45" s="225">
        <f>+H45-M45</f>
        <v>54143.05</v>
      </c>
    </row>
    <row r="46" spans="2:14" ht="31.5">
      <c r="B46" s="206" t="s">
        <v>24</v>
      </c>
      <c r="C46" s="226"/>
      <c r="D46" s="226"/>
      <c r="E46" s="227"/>
      <c r="F46" s="227"/>
      <c r="G46" s="227"/>
      <c r="H46" s="207">
        <f t="shared" ref="H46:N46" si="5">SUM(H45:H45)</f>
        <v>82500</v>
      </c>
      <c r="I46" s="198">
        <f t="shared" si="5"/>
        <v>2367.75</v>
      </c>
      <c r="J46" s="198">
        <f t="shared" si="5"/>
        <v>7989</v>
      </c>
      <c r="K46" s="198">
        <f t="shared" si="5"/>
        <v>2508</v>
      </c>
      <c r="L46" s="198">
        <f t="shared" si="5"/>
        <v>15492.2</v>
      </c>
      <c r="M46" s="198">
        <f t="shared" si="5"/>
        <v>28356.95</v>
      </c>
      <c r="N46" s="198">
        <f t="shared" si="5"/>
        <v>54143.05</v>
      </c>
    </row>
    <row r="47" spans="2:14" ht="16.5" thickBot="1">
      <c r="B47" s="206"/>
      <c r="C47" s="197"/>
      <c r="D47" s="197"/>
      <c r="E47" s="197"/>
      <c r="F47" s="197"/>
      <c r="H47" s="207"/>
      <c r="I47" s="207"/>
      <c r="J47" s="207"/>
      <c r="K47" s="207"/>
      <c r="L47" s="207"/>
      <c r="M47" s="207"/>
      <c r="N47" s="207"/>
    </row>
    <row r="48" spans="2:14" ht="27" thickBot="1">
      <c r="B48" s="212" t="s">
        <v>319</v>
      </c>
      <c r="C48" s="213"/>
      <c r="D48" s="213"/>
      <c r="E48" s="213"/>
      <c r="F48" s="213"/>
      <c r="G48" s="213"/>
      <c r="H48" s="217"/>
      <c r="I48" s="217"/>
      <c r="J48" s="217"/>
      <c r="K48" s="217"/>
      <c r="L48" s="217"/>
      <c r="M48" s="217"/>
      <c r="N48" s="218"/>
    </row>
    <row r="49" spans="2:14" ht="18.75" thickBot="1">
      <c r="B49" s="209" t="s">
        <v>0</v>
      </c>
      <c r="C49" s="209" t="s">
        <v>1</v>
      </c>
      <c r="D49" s="209" t="s">
        <v>2</v>
      </c>
      <c r="E49" s="209" t="s">
        <v>13</v>
      </c>
      <c r="F49" s="209" t="s">
        <v>3</v>
      </c>
      <c r="G49" s="228" t="s">
        <v>285</v>
      </c>
      <c r="H49" s="219" t="s">
        <v>28</v>
      </c>
      <c r="I49" s="220" t="s">
        <v>4</v>
      </c>
      <c r="J49" s="220" t="s">
        <v>6</v>
      </c>
      <c r="K49" s="220" t="s">
        <v>5</v>
      </c>
      <c r="L49" s="220" t="s">
        <v>31</v>
      </c>
      <c r="M49" s="220" t="s">
        <v>30</v>
      </c>
      <c r="N49" s="229" t="s">
        <v>29</v>
      </c>
    </row>
    <row r="50" spans="2:14" ht="69">
      <c r="B50" s="222">
        <v>12</v>
      </c>
      <c r="C50" s="223" t="s">
        <v>320</v>
      </c>
      <c r="D50" s="223" t="s">
        <v>9</v>
      </c>
      <c r="E50" s="224" t="s">
        <v>14</v>
      </c>
      <c r="F50" s="188" t="s">
        <v>288</v>
      </c>
      <c r="G50" s="188" t="s">
        <v>321</v>
      </c>
      <c r="H50" s="230">
        <v>48000</v>
      </c>
      <c r="I50" s="230">
        <v>1377.6</v>
      </c>
      <c r="J50" s="231" t="s">
        <v>281</v>
      </c>
      <c r="K50" s="230">
        <f>IF(H50&lt;75829.93,H50*0.0304,2305.23)</f>
        <v>1459.2</v>
      </c>
      <c r="L50" s="230">
        <v>225</v>
      </c>
      <c r="M50" s="230">
        <f>I50+K50+J50+L50</f>
        <v>3061.8</v>
      </c>
      <c r="N50" s="230">
        <f t="shared" ref="N50" si="6">+H50-M50</f>
        <v>44938.2</v>
      </c>
    </row>
    <row r="51" spans="2:14" ht="103.5">
      <c r="B51" s="222">
        <v>13</v>
      </c>
      <c r="C51" s="223" t="s">
        <v>322</v>
      </c>
      <c r="D51" s="223" t="s">
        <v>234</v>
      </c>
      <c r="E51" s="224" t="s">
        <v>14</v>
      </c>
      <c r="F51" s="188" t="s">
        <v>288</v>
      </c>
      <c r="G51" s="188" t="s">
        <v>323</v>
      </c>
      <c r="H51" s="232">
        <v>60000</v>
      </c>
      <c r="I51" s="232">
        <v>1722</v>
      </c>
      <c r="J51" s="233">
        <v>3102.69</v>
      </c>
      <c r="K51" s="232">
        <v>1824</v>
      </c>
      <c r="L51" s="232">
        <v>2144.7800000000002</v>
      </c>
      <c r="M51" s="232">
        <f>I51+J51+K51+L51</f>
        <v>8793.4700000000012</v>
      </c>
      <c r="N51" s="232">
        <f>H51-M51</f>
        <v>51206.53</v>
      </c>
    </row>
    <row r="52" spans="2:14" ht="31.5">
      <c r="B52" s="206" t="s">
        <v>24</v>
      </c>
      <c r="C52" s="193"/>
      <c r="D52" s="193"/>
      <c r="E52" s="197"/>
      <c r="F52" s="197"/>
      <c r="G52" s="197"/>
      <c r="H52" s="207">
        <f t="shared" ref="H52:N52" si="7">SUM(H50:H51)</f>
        <v>108000</v>
      </c>
      <c r="I52" s="207">
        <f t="shared" si="7"/>
        <v>3099.6</v>
      </c>
      <c r="J52" s="207">
        <f>SUM(J50:J51)</f>
        <v>3102.69</v>
      </c>
      <c r="K52" s="234">
        <f t="shared" si="7"/>
        <v>3283.2</v>
      </c>
      <c r="L52" s="207">
        <f t="shared" si="7"/>
        <v>2369.7800000000002</v>
      </c>
      <c r="M52" s="207">
        <f t="shared" si="7"/>
        <v>11855.27</v>
      </c>
      <c r="N52" s="207">
        <f t="shared" si="7"/>
        <v>96144.73</v>
      </c>
    </row>
    <row r="53" spans="2:14" ht="18" thickBot="1">
      <c r="B53" s="206"/>
      <c r="C53" s="193"/>
      <c r="D53" s="193"/>
      <c r="E53" s="197"/>
      <c r="F53" s="197"/>
      <c r="G53" s="197"/>
      <c r="H53" s="207"/>
      <c r="I53" s="207"/>
      <c r="J53" s="207"/>
      <c r="K53" s="234"/>
      <c r="L53" s="207"/>
      <c r="M53" s="207"/>
      <c r="N53" s="207"/>
    </row>
    <row r="54" spans="2:14" ht="27" thickBot="1">
      <c r="B54" s="212" t="s">
        <v>324</v>
      </c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3"/>
      <c r="N54" s="214"/>
    </row>
    <row r="55" spans="2:14" ht="18.75" thickBot="1">
      <c r="B55" s="209" t="s">
        <v>0</v>
      </c>
      <c r="C55" s="209" t="s">
        <v>1</v>
      </c>
      <c r="D55" s="209" t="s">
        <v>2</v>
      </c>
      <c r="E55" s="209" t="s">
        <v>13</v>
      </c>
      <c r="F55" s="209" t="s">
        <v>3</v>
      </c>
      <c r="G55" s="209" t="s">
        <v>285</v>
      </c>
      <c r="H55" s="209" t="s">
        <v>28</v>
      </c>
      <c r="I55" s="209" t="s">
        <v>4</v>
      </c>
      <c r="J55" s="209" t="s">
        <v>6</v>
      </c>
      <c r="K55" s="209" t="s">
        <v>5</v>
      </c>
      <c r="L55" s="209" t="s">
        <v>31</v>
      </c>
      <c r="M55" s="209" t="s">
        <v>30</v>
      </c>
      <c r="N55" s="209" t="s">
        <v>29</v>
      </c>
    </row>
    <row r="56" spans="2:14" ht="105">
      <c r="B56" s="188">
        <v>15</v>
      </c>
      <c r="C56" s="193" t="s">
        <v>325</v>
      </c>
      <c r="D56" s="193" t="s">
        <v>326</v>
      </c>
      <c r="E56" s="197" t="s">
        <v>15</v>
      </c>
      <c r="F56" s="188" t="s">
        <v>288</v>
      </c>
      <c r="G56" s="235" t="s">
        <v>327</v>
      </c>
      <c r="H56" s="191">
        <v>80000</v>
      </c>
      <c r="I56" s="191">
        <f>H56*0.0287</f>
        <v>2296</v>
      </c>
      <c r="J56" s="191">
        <v>7400.94</v>
      </c>
      <c r="K56" s="191">
        <v>2432</v>
      </c>
      <c r="L56" s="191">
        <v>12286.85</v>
      </c>
      <c r="M56" s="191">
        <f>+I56+K56+J56+L56</f>
        <v>24415.79</v>
      </c>
      <c r="N56" s="191">
        <f>+H56-M56</f>
        <v>55584.21</v>
      </c>
    </row>
    <row r="57" spans="2:14" ht="32.25" thickBot="1">
      <c r="B57" s="206" t="s">
        <v>24</v>
      </c>
      <c r="C57" s="193"/>
      <c r="D57" s="193"/>
      <c r="E57" s="197"/>
      <c r="F57" s="197"/>
      <c r="G57" s="197"/>
      <c r="H57" s="207">
        <f t="shared" ref="H57:N57" si="8">SUM(H55:H56)</f>
        <v>80000</v>
      </c>
      <c r="I57" s="207">
        <f t="shared" si="8"/>
        <v>2296</v>
      </c>
      <c r="J57" s="207">
        <f>SUM(J55:J56)</f>
        <v>7400.94</v>
      </c>
      <c r="K57" s="234">
        <f t="shared" si="8"/>
        <v>2432</v>
      </c>
      <c r="L57" s="207">
        <f t="shared" si="8"/>
        <v>12286.85</v>
      </c>
      <c r="M57" s="207">
        <f t="shared" si="8"/>
        <v>24415.79</v>
      </c>
      <c r="N57" s="207">
        <f t="shared" si="8"/>
        <v>55584.21</v>
      </c>
    </row>
    <row r="58" spans="2:14" ht="27" thickBot="1">
      <c r="B58" s="212" t="s">
        <v>328</v>
      </c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4"/>
    </row>
    <row r="59" spans="2:14" ht="90">
      <c r="B59" s="188">
        <v>16</v>
      </c>
      <c r="C59" s="193" t="s">
        <v>329</v>
      </c>
      <c r="D59" s="193" t="s">
        <v>330</v>
      </c>
      <c r="E59" s="197" t="s">
        <v>14</v>
      </c>
      <c r="F59" s="188" t="s">
        <v>288</v>
      </c>
      <c r="G59" s="188" t="s">
        <v>289</v>
      </c>
      <c r="H59" s="194">
        <v>101500</v>
      </c>
      <c r="I59" s="194">
        <f>H59*0.0287</f>
        <v>2913.05</v>
      </c>
      <c r="J59" s="194">
        <v>11978.33</v>
      </c>
      <c r="K59" s="194">
        <v>3085.6</v>
      </c>
      <c r="L59" s="194">
        <v>2144.7800000000002</v>
      </c>
      <c r="M59" s="194">
        <f>I59+J59+K59+L59</f>
        <v>20121.759999999998</v>
      </c>
      <c r="N59" s="194">
        <f>+H59-M59</f>
        <v>81378.240000000005</v>
      </c>
    </row>
    <row r="60" spans="2:14" ht="31.5">
      <c r="B60" s="206" t="s">
        <v>24</v>
      </c>
      <c r="C60" s="227"/>
      <c r="D60" s="227"/>
      <c r="E60" s="227"/>
      <c r="F60" s="227"/>
      <c r="G60" s="227"/>
      <c r="H60" s="207">
        <v>101500</v>
      </c>
      <c r="I60" s="207">
        <v>2913.05</v>
      </c>
      <c r="J60" s="207">
        <v>11978.33</v>
      </c>
      <c r="K60" s="207">
        <v>3085.6</v>
      </c>
      <c r="L60" s="207">
        <v>2144.7800000000002</v>
      </c>
      <c r="M60" s="207">
        <v>20121.759999999998</v>
      </c>
      <c r="N60" s="207">
        <v>81378.240000000005</v>
      </c>
    </row>
    <row r="61" spans="2:14" ht="16.5" thickBot="1">
      <c r="B61" s="206"/>
      <c r="C61" s="227"/>
      <c r="D61" s="227"/>
      <c r="E61" s="227"/>
      <c r="F61" s="227"/>
      <c r="G61" s="227"/>
      <c r="H61" s="207"/>
      <c r="I61" s="207"/>
      <c r="J61" s="207"/>
      <c r="K61" s="207"/>
      <c r="L61" s="207"/>
      <c r="M61" s="207"/>
      <c r="N61" s="207"/>
    </row>
    <row r="62" spans="2:14" ht="31.5" thickBot="1">
      <c r="B62" s="236" t="s">
        <v>331</v>
      </c>
      <c r="C62" s="237"/>
      <c r="D62" s="237"/>
      <c r="E62" s="237"/>
      <c r="F62" s="237"/>
      <c r="G62" s="237"/>
      <c r="H62" s="238"/>
      <c r="I62" s="238"/>
      <c r="J62" s="238"/>
      <c r="K62" s="238"/>
      <c r="L62" s="238"/>
      <c r="M62" s="238"/>
      <c r="N62" s="239"/>
    </row>
    <row r="63" spans="2:14" ht="18.75" thickBot="1">
      <c r="B63" s="209" t="s">
        <v>0</v>
      </c>
      <c r="C63" s="209" t="s">
        <v>1</v>
      </c>
      <c r="D63" s="209" t="s">
        <v>2</v>
      </c>
      <c r="E63" s="209" t="s">
        <v>13</v>
      </c>
      <c r="F63" s="209" t="s">
        <v>3</v>
      </c>
      <c r="G63" s="209" t="s">
        <v>285</v>
      </c>
      <c r="H63" s="240" t="s">
        <v>28</v>
      </c>
      <c r="I63" s="240" t="s">
        <v>4</v>
      </c>
      <c r="J63" s="240" t="s">
        <v>6</v>
      </c>
      <c r="K63" s="240" t="s">
        <v>5</v>
      </c>
      <c r="L63" s="240" t="s">
        <v>31</v>
      </c>
      <c r="M63" s="240" t="s">
        <v>30</v>
      </c>
      <c r="N63" s="240" t="s">
        <v>29</v>
      </c>
    </row>
    <row r="64" spans="2:14" ht="105">
      <c r="B64" s="222">
        <v>17</v>
      </c>
      <c r="C64" s="193" t="s">
        <v>332</v>
      </c>
      <c r="D64" s="193" t="s">
        <v>9</v>
      </c>
      <c r="E64" s="197" t="s">
        <v>15</v>
      </c>
      <c r="F64" s="188" t="s">
        <v>288</v>
      </c>
      <c r="G64" s="188" t="s">
        <v>289</v>
      </c>
      <c r="H64" s="191">
        <v>48000</v>
      </c>
      <c r="I64" s="191">
        <f>H64*0.0287</f>
        <v>1377.6</v>
      </c>
      <c r="J64" s="191">
        <v>0</v>
      </c>
      <c r="K64" s="191">
        <f>IF(H64&lt;75829.93,H64*0.0304,2305.23)</f>
        <v>1459.2</v>
      </c>
      <c r="L64" s="191">
        <v>3725.68</v>
      </c>
      <c r="M64" s="191">
        <f>I64+K64+J64+L64</f>
        <v>6562.48</v>
      </c>
      <c r="N64" s="191">
        <f>+H64-M64</f>
        <v>41437.520000000004</v>
      </c>
    </row>
    <row r="65" spans="2:14" ht="135">
      <c r="B65" s="188">
        <v>18</v>
      </c>
      <c r="C65" s="193" t="s">
        <v>333</v>
      </c>
      <c r="D65" s="193" t="s">
        <v>334</v>
      </c>
      <c r="E65" s="197" t="s">
        <v>15</v>
      </c>
      <c r="F65" s="188" t="s">
        <v>288</v>
      </c>
      <c r="G65" s="188" t="s">
        <v>289</v>
      </c>
      <c r="H65" s="194">
        <v>122500</v>
      </c>
      <c r="I65" s="194">
        <f>H65*0.0287</f>
        <v>3515.75</v>
      </c>
      <c r="J65" s="194">
        <v>17398</v>
      </c>
      <c r="K65" s="194">
        <v>3724</v>
      </c>
      <c r="L65" s="194">
        <v>225</v>
      </c>
      <c r="M65" s="194">
        <f>I65+K65+J65+L65</f>
        <v>24862.75</v>
      </c>
      <c r="N65" s="194">
        <f>+H65-M65</f>
        <v>97637.25</v>
      </c>
    </row>
    <row r="66" spans="2:14" ht="31.5">
      <c r="B66" s="206" t="s">
        <v>24</v>
      </c>
      <c r="C66" s="227"/>
      <c r="D66" s="227"/>
      <c r="E66" s="227"/>
      <c r="F66" s="227"/>
      <c r="G66" s="227"/>
      <c r="H66" s="207">
        <f t="shared" ref="H66:N66" si="9">SUM(H64:H65)</f>
        <v>170500</v>
      </c>
      <c r="I66" s="207">
        <f t="shared" si="9"/>
        <v>4893.3500000000004</v>
      </c>
      <c r="J66" s="207">
        <f t="shared" si="9"/>
        <v>17398</v>
      </c>
      <c r="K66" s="207">
        <f t="shared" si="9"/>
        <v>5183.2</v>
      </c>
      <c r="L66" s="207">
        <f t="shared" si="9"/>
        <v>3950.68</v>
      </c>
      <c r="M66" s="207">
        <f t="shared" si="9"/>
        <v>31425.23</v>
      </c>
      <c r="N66" s="207">
        <f t="shared" si="9"/>
        <v>139074.77000000002</v>
      </c>
    </row>
    <row r="67" spans="2:14" ht="16.5" thickBot="1">
      <c r="B67" s="206"/>
      <c r="C67" s="227"/>
      <c r="D67" s="227"/>
      <c r="E67" s="227"/>
      <c r="F67" s="227"/>
      <c r="G67" s="227"/>
      <c r="H67" s="207"/>
      <c r="I67" s="207"/>
      <c r="J67" s="207"/>
      <c r="K67" s="207"/>
      <c r="L67" s="207"/>
      <c r="M67" s="207"/>
      <c r="N67" s="207"/>
    </row>
    <row r="68" spans="2:14" ht="31.5" thickBot="1">
      <c r="B68" s="236" t="s">
        <v>335</v>
      </c>
      <c r="C68" s="237"/>
      <c r="D68" s="237"/>
      <c r="E68" s="237"/>
      <c r="F68" s="237"/>
      <c r="G68" s="237"/>
      <c r="H68" s="238"/>
      <c r="I68" s="238"/>
      <c r="J68" s="238"/>
      <c r="K68" s="238"/>
      <c r="L68" s="238"/>
      <c r="M68" s="238"/>
      <c r="N68" s="239"/>
    </row>
    <row r="69" spans="2:14" ht="135">
      <c r="B69" s="188">
        <v>19</v>
      </c>
      <c r="C69" s="193" t="s">
        <v>336</v>
      </c>
      <c r="D69" s="193" t="s">
        <v>337</v>
      </c>
      <c r="E69" s="188" t="s">
        <v>15</v>
      </c>
      <c r="F69" s="188" t="s">
        <v>288</v>
      </c>
      <c r="G69" s="188" t="s">
        <v>289</v>
      </c>
      <c r="H69" s="194">
        <v>101500</v>
      </c>
      <c r="I69" s="194">
        <v>2913.05</v>
      </c>
      <c r="J69" s="194">
        <v>11498.38</v>
      </c>
      <c r="K69" s="194">
        <v>3085.6</v>
      </c>
      <c r="L69" s="194">
        <v>7357.86</v>
      </c>
      <c r="M69" s="194">
        <f>I69+J69+K69+L69</f>
        <v>24854.89</v>
      </c>
      <c r="N69" s="194">
        <f>+H69-M69</f>
        <v>76645.11</v>
      </c>
    </row>
    <row r="70" spans="2:14" ht="31.5">
      <c r="B70" s="206" t="s">
        <v>24</v>
      </c>
      <c r="C70" s="227"/>
      <c r="D70" s="227"/>
      <c r="E70" s="227"/>
      <c r="F70" s="227"/>
      <c r="G70" s="227"/>
      <c r="H70" s="207">
        <f t="shared" ref="H70:N70" si="10">SUM(H67:H69)</f>
        <v>101500</v>
      </c>
      <c r="I70" s="207">
        <f t="shared" si="10"/>
        <v>2913.05</v>
      </c>
      <c r="J70" s="207">
        <f t="shared" si="10"/>
        <v>11498.38</v>
      </c>
      <c r="K70" s="207">
        <f t="shared" si="10"/>
        <v>3085.6</v>
      </c>
      <c r="L70" s="207">
        <f t="shared" si="10"/>
        <v>7357.86</v>
      </c>
      <c r="M70" s="207">
        <f t="shared" si="10"/>
        <v>24854.89</v>
      </c>
      <c r="N70" s="207">
        <f t="shared" si="10"/>
        <v>76645.11</v>
      </c>
    </row>
    <row r="71" spans="2:14" ht="15.75">
      <c r="B71" s="206"/>
      <c r="C71" s="227"/>
      <c r="D71" s="227"/>
      <c r="E71" s="227"/>
      <c r="F71" s="227"/>
      <c r="G71" s="227"/>
      <c r="H71" s="207"/>
      <c r="I71" s="207"/>
      <c r="J71" s="207"/>
      <c r="K71" s="207"/>
      <c r="L71" s="207"/>
      <c r="M71" s="207"/>
      <c r="N71" s="207"/>
    </row>
    <row r="72" spans="2:14" ht="15.75">
      <c r="B72" s="206"/>
      <c r="C72" s="227"/>
      <c r="D72" s="227"/>
      <c r="E72" s="227"/>
      <c r="F72" s="227"/>
      <c r="G72" s="227"/>
      <c r="H72" s="207"/>
      <c r="I72" s="207"/>
      <c r="J72" s="207"/>
      <c r="K72" s="207"/>
      <c r="L72" s="207"/>
      <c r="M72" s="207"/>
      <c r="N72" s="207"/>
    </row>
    <row r="73" spans="2:14" ht="15.75">
      <c r="B73" s="206"/>
      <c r="C73" s="227"/>
      <c r="D73" s="227"/>
      <c r="E73" s="227"/>
      <c r="F73" s="227"/>
      <c r="G73" s="227"/>
      <c r="H73" s="207"/>
      <c r="I73" s="207"/>
      <c r="J73" s="207"/>
      <c r="K73" s="207"/>
      <c r="L73" s="207"/>
      <c r="M73" s="207"/>
      <c r="N73" s="207"/>
    </row>
    <row r="74" spans="2:14" ht="16.5" thickBot="1">
      <c r="B74" s="206"/>
      <c r="C74" s="227"/>
      <c r="D74" s="227"/>
      <c r="E74" s="227"/>
      <c r="F74" s="227"/>
      <c r="G74" s="227"/>
      <c r="H74" s="207"/>
      <c r="I74" s="207"/>
      <c r="J74" s="207"/>
      <c r="K74" s="207"/>
      <c r="L74" s="207"/>
      <c r="M74" s="207"/>
      <c r="N74" s="207"/>
    </row>
    <row r="75" spans="2:14" ht="21" thickBot="1">
      <c r="B75" s="241" t="s">
        <v>257</v>
      </c>
      <c r="C75" s="242" t="s">
        <v>26</v>
      </c>
      <c r="D75" s="243" t="s">
        <v>16</v>
      </c>
      <c r="E75" s="243" t="s">
        <v>338</v>
      </c>
      <c r="F75" s="243" t="s">
        <v>18</v>
      </c>
      <c r="G75" s="243"/>
      <c r="H75" s="243" t="s">
        <v>27</v>
      </c>
      <c r="I75" s="243" t="s">
        <v>19</v>
      </c>
      <c r="J75" s="243" t="s">
        <v>11</v>
      </c>
      <c r="K75" s="243" t="s">
        <v>283</v>
      </c>
      <c r="L75" s="243" t="s">
        <v>20</v>
      </c>
      <c r="M75" s="243"/>
      <c r="N75" s="244"/>
    </row>
    <row r="76" spans="2:14" ht="21" thickBot="1">
      <c r="B76" s="245"/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7"/>
    </row>
    <row r="77" spans="2:14" ht="27" thickBot="1">
      <c r="B77" s="212" t="s">
        <v>339</v>
      </c>
      <c r="C77" s="213"/>
      <c r="D77" s="213"/>
      <c r="E77" s="213"/>
      <c r="F77" s="213"/>
      <c r="G77" s="213"/>
      <c r="H77" s="213"/>
      <c r="I77" s="213"/>
      <c r="J77" s="213"/>
      <c r="K77" s="213"/>
      <c r="L77" s="213"/>
      <c r="M77" s="213"/>
      <c r="N77" s="214"/>
    </row>
    <row r="78" spans="2:14" ht="18.75" thickBot="1">
      <c r="B78" s="209" t="s">
        <v>0</v>
      </c>
      <c r="C78" s="209" t="s">
        <v>1</v>
      </c>
      <c r="D78" s="209" t="s">
        <v>2</v>
      </c>
      <c r="E78" s="209" t="s">
        <v>13</v>
      </c>
      <c r="F78" s="209" t="s">
        <v>3</v>
      </c>
      <c r="G78" s="209" t="s">
        <v>285</v>
      </c>
      <c r="H78" s="209" t="s">
        <v>28</v>
      </c>
      <c r="I78" s="209" t="s">
        <v>4</v>
      </c>
      <c r="J78" s="209" t="s">
        <v>6</v>
      </c>
      <c r="K78" s="209" t="s">
        <v>5</v>
      </c>
      <c r="L78" s="209" t="s">
        <v>31</v>
      </c>
      <c r="M78" s="209" t="s">
        <v>30</v>
      </c>
      <c r="N78" s="209" t="s">
        <v>29</v>
      </c>
    </row>
    <row r="79" spans="2:14" ht="90">
      <c r="B79" s="188">
        <v>14</v>
      </c>
      <c r="C79" s="193" t="s">
        <v>340</v>
      </c>
      <c r="D79" s="193" t="s">
        <v>341</v>
      </c>
      <c r="E79" s="197" t="s">
        <v>14</v>
      </c>
      <c r="F79" s="188" t="s">
        <v>288</v>
      </c>
      <c r="G79" s="235" t="s">
        <v>327</v>
      </c>
      <c r="H79" s="191">
        <v>90000</v>
      </c>
      <c r="I79" s="191">
        <v>2583</v>
      </c>
      <c r="J79" s="191">
        <v>9273.24</v>
      </c>
      <c r="K79" s="191">
        <v>2736</v>
      </c>
      <c r="L79" s="191">
        <v>1944.78</v>
      </c>
      <c r="M79" s="191">
        <f>+I79+K79+J79+L79</f>
        <v>16537.02</v>
      </c>
      <c r="N79" s="191">
        <f>H79-M79</f>
        <v>73462.98</v>
      </c>
    </row>
    <row r="80" spans="2:14" ht="31.5">
      <c r="B80" s="206" t="s">
        <v>24</v>
      </c>
      <c r="C80" s="227"/>
      <c r="D80" s="227"/>
      <c r="E80" s="227"/>
      <c r="F80" s="227"/>
      <c r="G80" s="227"/>
      <c r="H80" s="207">
        <f t="shared" ref="H80:N80" si="11">SUM(H79)</f>
        <v>90000</v>
      </c>
      <c r="I80" s="207">
        <f t="shared" si="11"/>
        <v>2583</v>
      </c>
      <c r="J80" s="207">
        <f t="shared" si="11"/>
        <v>9273.24</v>
      </c>
      <c r="K80" s="207">
        <f t="shared" si="11"/>
        <v>2736</v>
      </c>
      <c r="L80" s="207">
        <f t="shared" si="11"/>
        <v>1944.78</v>
      </c>
      <c r="M80" s="207">
        <f t="shared" si="11"/>
        <v>16537.02</v>
      </c>
      <c r="N80" s="207">
        <f t="shared" si="11"/>
        <v>73462.98</v>
      </c>
    </row>
    <row r="81" spans="2:14" ht="16.5" thickBot="1">
      <c r="B81" s="206"/>
      <c r="C81" s="227"/>
      <c r="D81" s="227"/>
      <c r="E81" s="227"/>
      <c r="F81" s="227"/>
      <c r="G81" s="227"/>
      <c r="H81" s="207"/>
      <c r="I81" s="207"/>
      <c r="J81" s="207"/>
      <c r="K81" s="207"/>
      <c r="L81" s="207"/>
      <c r="M81" s="207"/>
      <c r="N81" s="207"/>
    </row>
    <row r="82" spans="2:14" ht="31.5" thickBot="1">
      <c r="B82" s="236" t="s">
        <v>342</v>
      </c>
      <c r="C82" s="237"/>
      <c r="D82" s="237"/>
      <c r="E82" s="237"/>
      <c r="F82" s="237"/>
      <c r="G82" s="237"/>
      <c r="H82" s="237"/>
      <c r="I82" s="237"/>
      <c r="J82" s="237"/>
      <c r="K82" s="237"/>
      <c r="L82" s="237"/>
      <c r="M82" s="237"/>
      <c r="N82" s="248"/>
    </row>
    <row r="83" spans="2:14" ht="18.75" thickBot="1">
      <c r="B83" s="209" t="s">
        <v>0</v>
      </c>
      <c r="C83" s="209" t="s">
        <v>1</v>
      </c>
      <c r="D83" s="209" t="s">
        <v>2</v>
      </c>
      <c r="E83" s="209" t="s">
        <v>13</v>
      </c>
      <c r="F83" s="209" t="s">
        <v>3</v>
      </c>
      <c r="G83" s="209" t="s">
        <v>285</v>
      </c>
      <c r="H83" s="209" t="s">
        <v>28</v>
      </c>
      <c r="I83" s="209" t="s">
        <v>4</v>
      </c>
      <c r="J83" s="209" t="s">
        <v>6</v>
      </c>
      <c r="K83" s="209" t="s">
        <v>5</v>
      </c>
      <c r="L83" s="209" t="s">
        <v>31</v>
      </c>
      <c r="M83" s="209" t="s">
        <v>30</v>
      </c>
      <c r="N83" s="209" t="s">
        <v>29</v>
      </c>
    </row>
    <row r="84" spans="2:14" ht="75">
      <c r="B84" s="188">
        <v>22</v>
      </c>
      <c r="C84" s="193" t="s">
        <v>343</v>
      </c>
      <c r="D84" s="193" t="s">
        <v>344</v>
      </c>
      <c r="E84" s="197" t="s">
        <v>15</v>
      </c>
      <c r="F84" s="188" t="s">
        <v>288</v>
      </c>
      <c r="G84" s="188" t="s">
        <v>289</v>
      </c>
      <c r="H84" s="191">
        <v>60000</v>
      </c>
      <c r="I84" s="191">
        <v>1722</v>
      </c>
      <c r="J84" s="191">
        <v>3102.69</v>
      </c>
      <c r="K84" s="191">
        <f>IF(H84&lt;75829.93,H84*0.0304,2305.23)</f>
        <v>1824</v>
      </c>
      <c r="L84" s="191">
        <v>14721.13</v>
      </c>
      <c r="M84" s="191">
        <f>I84+K84+J84+L84</f>
        <v>21369.82</v>
      </c>
      <c r="N84" s="191">
        <f>+H84-M84</f>
        <v>38630.18</v>
      </c>
    </row>
    <row r="85" spans="2:14" ht="60">
      <c r="B85" s="188">
        <v>20</v>
      </c>
      <c r="C85" s="193" t="s">
        <v>345</v>
      </c>
      <c r="D85" s="193" t="s">
        <v>12</v>
      </c>
      <c r="E85" s="197" t="s">
        <v>14</v>
      </c>
      <c r="F85" s="188" t="s">
        <v>288</v>
      </c>
      <c r="G85" s="188" t="s">
        <v>315</v>
      </c>
      <c r="H85" s="191">
        <v>55000</v>
      </c>
      <c r="I85" s="191">
        <f>H85*0.0287</f>
        <v>1578.5</v>
      </c>
      <c r="J85" s="191">
        <v>0</v>
      </c>
      <c r="K85" s="191">
        <v>1672</v>
      </c>
      <c r="L85" s="191">
        <v>225</v>
      </c>
      <c r="M85" s="191">
        <f>I85+K85+J85+L85</f>
        <v>3475.5</v>
      </c>
      <c r="N85" s="191">
        <f>+H85-M85</f>
        <v>51524.5</v>
      </c>
    </row>
    <row r="86" spans="2:14" ht="69">
      <c r="B86" s="188">
        <v>21</v>
      </c>
      <c r="C86" s="223" t="s">
        <v>346</v>
      </c>
      <c r="D86" s="223" t="s">
        <v>347</v>
      </c>
      <c r="E86" s="224" t="s">
        <v>15</v>
      </c>
      <c r="F86" s="188" t="s">
        <v>288</v>
      </c>
      <c r="G86" s="188" t="s">
        <v>289</v>
      </c>
      <c r="H86" s="232">
        <v>60000</v>
      </c>
      <c r="I86" s="232">
        <v>1722</v>
      </c>
      <c r="J86" s="232">
        <v>3102.69</v>
      </c>
      <c r="K86" s="232">
        <v>1824</v>
      </c>
      <c r="L86" s="232">
        <v>3144.78</v>
      </c>
      <c r="M86" s="194">
        <f>I86+K86+J86+L86</f>
        <v>9793.4700000000012</v>
      </c>
      <c r="N86" s="232">
        <f>+H86-M86</f>
        <v>50206.53</v>
      </c>
    </row>
    <row r="87" spans="2:14" ht="31.5">
      <c r="B87" s="206" t="s">
        <v>24</v>
      </c>
      <c r="C87" s="193"/>
      <c r="D87" s="193"/>
      <c r="E87" s="197"/>
      <c r="F87" s="188"/>
      <c r="G87" s="188" t="s">
        <v>348</v>
      </c>
      <c r="H87" s="207">
        <f t="shared" ref="H87:N87" si="12">SUM(H84:H86)</f>
        <v>175000</v>
      </c>
      <c r="I87" s="207">
        <f t="shared" si="12"/>
        <v>5022.5</v>
      </c>
      <c r="J87" s="207">
        <f t="shared" si="12"/>
        <v>6205.38</v>
      </c>
      <c r="K87" s="207">
        <f t="shared" si="12"/>
        <v>5320</v>
      </c>
      <c r="L87" s="207">
        <f t="shared" si="12"/>
        <v>18090.91</v>
      </c>
      <c r="M87" s="198">
        <f t="shared" si="12"/>
        <v>34638.79</v>
      </c>
      <c r="N87" s="207">
        <f t="shared" si="12"/>
        <v>140361.21</v>
      </c>
    </row>
    <row r="88" spans="2:14" ht="16.5" thickBot="1">
      <c r="B88" s="206"/>
      <c r="C88" s="193"/>
      <c r="D88" s="193"/>
      <c r="E88" s="197"/>
      <c r="F88" s="188"/>
      <c r="G88" s="188"/>
      <c r="H88" s="207"/>
      <c r="I88" s="207"/>
      <c r="J88" s="207"/>
      <c r="K88" s="207"/>
      <c r="L88" s="207"/>
      <c r="M88" s="249"/>
      <c r="N88" s="207"/>
    </row>
    <row r="89" spans="2:14" ht="27" thickBot="1">
      <c r="B89" s="212" t="s">
        <v>349</v>
      </c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4"/>
    </row>
    <row r="90" spans="2:14" ht="18.75" thickBot="1">
      <c r="B90" s="209" t="s">
        <v>0</v>
      </c>
      <c r="C90" s="209" t="s">
        <v>1</v>
      </c>
      <c r="D90" s="209" t="s">
        <v>2</v>
      </c>
      <c r="E90" s="209" t="s">
        <v>13</v>
      </c>
      <c r="F90" s="209" t="s">
        <v>3</v>
      </c>
      <c r="G90" s="209" t="s">
        <v>285</v>
      </c>
      <c r="H90" s="209" t="s">
        <v>28</v>
      </c>
      <c r="I90" s="209" t="s">
        <v>4</v>
      </c>
      <c r="J90" s="209" t="s">
        <v>6</v>
      </c>
      <c r="K90" s="209" t="s">
        <v>5</v>
      </c>
      <c r="L90" s="209" t="s">
        <v>31</v>
      </c>
      <c r="M90" s="209" t="s">
        <v>30</v>
      </c>
      <c r="N90" s="209" t="s">
        <v>29</v>
      </c>
    </row>
    <row r="91" spans="2:14" ht="51.75">
      <c r="B91" s="188">
        <v>23</v>
      </c>
      <c r="C91" s="223" t="s">
        <v>350</v>
      </c>
      <c r="D91" s="223" t="s">
        <v>351</v>
      </c>
      <c r="E91" s="224" t="s">
        <v>14</v>
      </c>
      <c r="F91" s="188" t="s">
        <v>288</v>
      </c>
      <c r="G91" s="188" t="s">
        <v>321</v>
      </c>
      <c r="H91" s="225">
        <v>48000</v>
      </c>
      <c r="I91" s="225">
        <f>H91*0.0287</f>
        <v>1377.6</v>
      </c>
      <c r="J91" s="225">
        <v>0</v>
      </c>
      <c r="K91" s="225">
        <v>1459.2</v>
      </c>
      <c r="L91" s="225">
        <v>25</v>
      </c>
      <c r="M91" s="225">
        <f>I91+J91+K91+L91</f>
        <v>2861.8</v>
      </c>
      <c r="N91" s="225">
        <f>+H91-M91</f>
        <v>45138.2</v>
      </c>
    </row>
    <row r="92" spans="2:14" ht="31.5">
      <c r="B92" s="206" t="s">
        <v>24</v>
      </c>
      <c r="C92" s="223"/>
      <c r="D92" s="223"/>
      <c r="E92" s="224"/>
      <c r="F92" s="188"/>
      <c r="G92" s="188"/>
      <c r="H92" s="199">
        <f>+H91</f>
        <v>48000</v>
      </c>
      <c r="I92" s="199">
        <f>H92*0.0287</f>
        <v>1377.6</v>
      </c>
      <c r="J92" s="199">
        <f>+J91</f>
        <v>0</v>
      </c>
      <c r="K92" s="199">
        <f>+K91</f>
        <v>1459.2</v>
      </c>
      <c r="L92" s="199">
        <f>+L91</f>
        <v>25</v>
      </c>
      <c r="M92" s="199">
        <f>I92+K92+J92+L92</f>
        <v>2861.8</v>
      </c>
      <c r="N92" s="199">
        <f>+H92-M92</f>
        <v>45138.2</v>
      </c>
    </row>
    <row r="93" spans="2:14" ht="18" thickBot="1">
      <c r="B93" s="206"/>
      <c r="C93" s="223"/>
      <c r="D93" s="223"/>
      <c r="E93" s="224"/>
      <c r="F93" s="188"/>
      <c r="G93" s="188"/>
      <c r="H93" s="199"/>
      <c r="I93" s="199"/>
      <c r="J93" s="199"/>
      <c r="K93" s="199"/>
      <c r="L93" s="199"/>
      <c r="M93" s="199"/>
      <c r="N93" s="199"/>
    </row>
    <row r="94" spans="2:14" ht="31.5" thickBot="1">
      <c r="B94" s="236" t="s">
        <v>352</v>
      </c>
      <c r="C94" s="237"/>
      <c r="D94" s="237"/>
      <c r="E94" s="237"/>
      <c r="F94" s="237"/>
      <c r="G94" s="237"/>
      <c r="H94" s="237"/>
      <c r="I94" s="237"/>
      <c r="J94" s="237"/>
      <c r="K94" s="237"/>
      <c r="L94" s="237"/>
      <c r="M94" s="237"/>
      <c r="N94" s="248"/>
    </row>
    <row r="95" spans="2:14" ht="18.75" thickBot="1">
      <c r="B95" s="209" t="s">
        <v>0</v>
      </c>
      <c r="C95" s="209" t="s">
        <v>1</v>
      </c>
      <c r="D95" s="209" t="s">
        <v>2</v>
      </c>
      <c r="E95" s="209" t="s">
        <v>13</v>
      </c>
      <c r="F95" s="209" t="s">
        <v>3</v>
      </c>
      <c r="G95" s="209" t="s">
        <v>285</v>
      </c>
      <c r="H95" s="209" t="s">
        <v>28</v>
      </c>
      <c r="I95" s="209" t="s">
        <v>4</v>
      </c>
      <c r="J95" s="209" t="s">
        <v>6</v>
      </c>
      <c r="K95" s="209" t="s">
        <v>5</v>
      </c>
      <c r="L95" s="209" t="s">
        <v>31</v>
      </c>
      <c r="M95" s="209" t="s">
        <v>30</v>
      </c>
      <c r="N95" s="209" t="s">
        <v>29</v>
      </c>
    </row>
    <row r="96" spans="2:14" ht="17.25">
      <c r="B96" s="222">
        <v>24</v>
      </c>
      <c r="C96" s="250" t="s">
        <v>353</v>
      </c>
      <c r="D96" s="250" t="s">
        <v>354</v>
      </c>
      <c r="E96" s="222" t="s">
        <v>15</v>
      </c>
      <c r="F96" s="188" t="s">
        <v>288</v>
      </c>
      <c r="G96" s="188" t="s">
        <v>289</v>
      </c>
      <c r="H96" s="251">
        <v>60000</v>
      </c>
      <c r="I96" s="251">
        <f>H96*0.0287</f>
        <v>1722</v>
      </c>
      <c r="J96" s="191">
        <v>3486.65</v>
      </c>
      <c r="K96" s="251">
        <v>1824</v>
      </c>
      <c r="L96" s="251">
        <v>1225</v>
      </c>
      <c r="M96" s="252">
        <f>I96+K96+J96+L96</f>
        <v>8257.65</v>
      </c>
      <c r="N96" s="191">
        <f>+H96-M96</f>
        <v>51742.35</v>
      </c>
    </row>
    <row r="97" spans="2:14" ht="17.25">
      <c r="B97" s="222">
        <v>25</v>
      </c>
      <c r="C97" s="250" t="s">
        <v>355</v>
      </c>
      <c r="D97" s="250" t="s">
        <v>12</v>
      </c>
      <c r="E97" s="222" t="s">
        <v>14</v>
      </c>
      <c r="F97" s="188" t="s">
        <v>288</v>
      </c>
      <c r="G97" s="188" t="s">
        <v>289</v>
      </c>
      <c r="H97" s="251">
        <v>60000</v>
      </c>
      <c r="I97" s="251">
        <f t="shared" ref="I97:I99" si="13">H97*0.0287</f>
        <v>1722</v>
      </c>
      <c r="J97" s="191">
        <v>3486.65</v>
      </c>
      <c r="K97" s="251">
        <v>1824</v>
      </c>
      <c r="L97" s="251">
        <v>6287.3</v>
      </c>
      <c r="M97" s="252">
        <f>+I97+K97+J97+L97</f>
        <v>13319.95</v>
      </c>
      <c r="N97" s="191">
        <f>+H97-M97</f>
        <v>46680.05</v>
      </c>
    </row>
    <row r="98" spans="2:14" ht="75">
      <c r="B98" s="222">
        <v>26</v>
      </c>
      <c r="C98" s="193" t="s">
        <v>356</v>
      </c>
      <c r="D98" s="193" t="s">
        <v>354</v>
      </c>
      <c r="E98" s="197" t="s">
        <v>15</v>
      </c>
      <c r="F98" s="188" t="s">
        <v>288</v>
      </c>
      <c r="G98" s="188" t="s">
        <v>289</v>
      </c>
      <c r="H98" s="191">
        <v>60000</v>
      </c>
      <c r="I98" s="191">
        <f t="shared" si="13"/>
        <v>1722</v>
      </c>
      <c r="J98" s="191">
        <v>3486.65</v>
      </c>
      <c r="K98" s="191">
        <f>IF(H98&lt;75829.93,H98*0.0304,2305.23)</f>
        <v>1824</v>
      </c>
      <c r="L98" s="191">
        <v>3425.32</v>
      </c>
      <c r="M98" s="191">
        <f>I98+K98+J98+L98</f>
        <v>10457.969999999999</v>
      </c>
      <c r="N98" s="191">
        <f t="shared" ref="N98" si="14">+H98-M98</f>
        <v>49542.03</v>
      </c>
    </row>
    <row r="99" spans="2:14" ht="60">
      <c r="B99" s="222">
        <v>27</v>
      </c>
      <c r="C99" s="193" t="s">
        <v>357</v>
      </c>
      <c r="D99" s="193" t="s">
        <v>32</v>
      </c>
      <c r="E99" s="197" t="s">
        <v>15</v>
      </c>
      <c r="F99" s="188" t="s">
        <v>288</v>
      </c>
      <c r="G99" s="188" t="s">
        <v>289</v>
      </c>
      <c r="H99" s="191">
        <v>60000</v>
      </c>
      <c r="I99" s="191">
        <f t="shared" si="13"/>
        <v>1722</v>
      </c>
      <c r="J99" s="191">
        <v>3486.65</v>
      </c>
      <c r="K99" s="191">
        <v>1824</v>
      </c>
      <c r="L99" s="191">
        <v>1225</v>
      </c>
      <c r="M99" s="191">
        <f>I99+K99+J99+L99</f>
        <v>8257.65</v>
      </c>
      <c r="N99" s="191">
        <f>+H99-M99</f>
        <v>51742.35</v>
      </c>
    </row>
    <row r="100" spans="2:14" ht="135">
      <c r="B100" s="222"/>
      <c r="C100" s="193" t="s">
        <v>358</v>
      </c>
      <c r="D100" s="193" t="s">
        <v>359</v>
      </c>
      <c r="E100" s="197" t="s">
        <v>15</v>
      </c>
      <c r="F100" s="188" t="s">
        <v>288</v>
      </c>
      <c r="G100" s="188" t="s">
        <v>360</v>
      </c>
      <c r="H100" s="191">
        <v>55000</v>
      </c>
      <c r="I100" s="191">
        <v>1578.5</v>
      </c>
      <c r="J100" s="191">
        <v>2559.67</v>
      </c>
      <c r="K100" s="191">
        <v>1672</v>
      </c>
      <c r="L100" s="191">
        <v>25</v>
      </c>
      <c r="M100" s="191">
        <f>L100+K100+J100+I100</f>
        <v>5835.17</v>
      </c>
      <c r="N100" s="191">
        <f>H100-M100</f>
        <v>49164.83</v>
      </c>
    </row>
    <row r="101" spans="2:14" ht="32.25" thickBot="1">
      <c r="B101" s="206" t="s">
        <v>24</v>
      </c>
      <c r="C101" s="193"/>
      <c r="D101" s="193"/>
      <c r="E101" s="197"/>
      <c r="F101" s="188"/>
      <c r="G101" s="188"/>
      <c r="H101" s="207">
        <f t="shared" ref="H101:N101" si="15">SUM(H96:H100)</f>
        <v>295000</v>
      </c>
      <c r="I101" s="207">
        <f t="shared" si="15"/>
        <v>8466.5</v>
      </c>
      <c r="J101" s="207">
        <f t="shared" si="15"/>
        <v>16506.27</v>
      </c>
      <c r="K101" s="207">
        <f t="shared" si="15"/>
        <v>8968</v>
      </c>
      <c r="L101" s="207">
        <f t="shared" si="15"/>
        <v>12187.62</v>
      </c>
      <c r="M101" s="207">
        <f t="shared" si="15"/>
        <v>46128.39</v>
      </c>
      <c r="N101" s="207">
        <f t="shared" si="15"/>
        <v>248871.61</v>
      </c>
    </row>
    <row r="102" spans="2:14" ht="31.5" thickBot="1">
      <c r="B102" s="236" t="s">
        <v>361</v>
      </c>
      <c r="C102" s="237"/>
      <c r="D102" s="237"/>
      <c r="E102" s="237"/>
      <c r="F102" s="237"/>
      <c r="G102" s="238"/>
      <c r="H102" s="238"/>
      <c r="I102" s="238"/>
      <c r="J102" s="238"/>
      <c r="K102" s="238"/>
      <c r="L102" s="238"/>
      <c r="M102" s="238"/>
      <c r="N102" s="239"/>
    </row>
    <row r="103" spans="2:14" ht="18.75" thickBot="1">
      <c r="B103" s="209" t="s">
        <v>0</v>
      </c>
      <c r="C103" s="209" t="s">
        <v>1</v>
      </c>
      <c r="D103" s="209" t="s">
        <v>2</v>
      </c>
      <c r="E103" s="209" t="s">
        <v>13</v>
      </c>
      <c r="F103" s="228" t="s">
        <v>3</v>
      </c>
      <c r="G103" s="253" t="s">
        <v>285</v>
      </c>
      <c r="H103" s="253" t="s">
        <v>28</v>
      </c>
      <c r="I103" s="253" t="s">
        <v>4</v>
      </c>
      <c r="J103" s="253" t="s">
        <v>6</v>
      </c>
      <c r="K103" s="253" t="s">
        <v>5</v>
      </c>
      <c r="L103" s="253" t="s">
        <v>31</v>
      </c>
      <c r="M103" s="253" t="s">
        <v>30</v>
      </c>
      <c r="N103" s="253" t="s">
        <v>29</v>
      </c>
    </row>
    <row r="104" spans="2:14" ht="75">
      <c r="B104" s="188">
        <v>29</v>
      </c>
      <c r="C104" s="193" t="s">
        <v>362</v>
      </c>
      <c r="D104" s="193" t="s">
        <v>9</v>
      </c>
      <c r="E104" s="197" t="s">
        <v>14</v>
      </c>
      <c r="F104" s="188" t="s">
        <v>288</v>
      </c>
      <c r="G104" s="188" t="s">
        <v>323</v>
      </c>
      <c r="H104" s="191">
        <v>48000</v>
      </c>
      <c r="I104" s="191">
        <f>H104*0.0287</f>
        <v>1377.6</v>
      </c>
      <c r="J104" s="191">
        <v>1571.73</v>
      </c>
      <c r="K104" s="191">
        <f>IF(H104&lt;75829.93,H104*0.0304,2305.23)</f>
        <v>1459.2</v>
      </c>
      <c r="L104" s="191">
        <v>225</v>
      </c>
      <c r="M104" s="191">
        <f>+L104+J104+K104+I104</f>
        <v>4633.5300000000007</v>
      </c>
      <c r="N104" s="191">
        <f>+H104-M104</f>
        <v>43366.47</v>
      </c>
    </row>
    <row r="105" spans="2:14" ht="90">
      <c r="B105" s="188">
        <v>30</v>
      </c>
      <c r="C105" s="193" t="s">
        <v>363</v>
      </c>
      <c r="D105" s="193" t="s">
        <v>308</v>
      </c>
      <c r="E105" s="197" t="s">
        <v>15</v>
      </c>
      <c r="F105" s="188" t="s">
        <v>288</v>
      </c>
      <c r="G105" s="188" t="s">
        <v>364</v>
      </c>
      <c r="H105" s="191">
        <v>55000</v>
      </c>
      <c r="I105" s="191">
        <v>1578.5</v>
      </c>
      <c r="J105" s="254" t="s">
        <v>281</v>
      </c>
      <c r="K105" s="191">
        <v>1672</v>
      </c>
      <c r="L105" s="191">
        <v>37682.370000000003</v>
      </c>
      <c r="M105" s="191">
        <f>I105+J105+K105+L105</f>
        <v>40932.870000000003</v>
      </c>
      <c r="N105" s="191">
        <f>H105-M105</f>
        <v>14067.129999999997</v>
      </c>
    </row>
    <row r="106" spans="2:14">
      <c r="B106" s="255" t="s">
        <v>365</v>
      </c>
      <c r="C106" s="256" t="s">
        <v>366</v>
      </c>
      <c r="D106" s="256" t="s">
        <v>54</v>
      </c>
      <c r="E106" s="257" t="s">
        <v>15</v>
      </c>
      <c r="F106" s="188" t="s">
        <v>288</v>
      </c>
      <c r="G106" s="258" t="s">
        <v>367</v>
      </c>
      <c r="H106" s="189">
        <v>60000</v>
      </c>
      <c r="I106" s="189">
        <v>1722</v>
      </c>
      <c r="J106" s="190" t="s">
        <v>368</v>
      </c>
      <c r="K106" s="189">
        <v>1824</v>
      </c>
      <c r="L106" s="189">
        <v>14260.18</v>
      </c>
      <c r="M106" s="189">
        <f>I106+J106+K106+L106</f>
        <v>21292.83</v>
      </c>
      <c r="N106" s="189">
        <f>H106-M106</f>
        <v>38707.17</v>
      </c>
    </row>
    <row r="107" spans="2:14" ht="32.25" thickBot="1">
      <c r="B107" s="206" t="s">
        <v>24</v>
      </c>
      <c r="C107" s="259"/>
      <c r="D107" s="259"/>
      <c r="E107" s="260"/>
      <c r="F107" s="260"/>
      <c r="G107" s="259"/>
      <c r="H107" s="261">
        <f t="shared" ref="H107:N107" si="16">SUM(H104:H106)</f>
        <v>163000</v>
      </c>
      <c r="I107" s="261">
        <f t="shared" si="16"/>
        <v>4678.1000000000004</v>
      </c>
      <c r="J107" s="261">
        <f>J104+J105+J106</f>
        <v>5058.38</v>
      </c>
      <c r="K107" s="261">
        <f t="shared" si="16"/>
        <v>4955.2</v>
      </c>
      <c r="L107" s="261">
        <f t="shared" si="16"/>
        <v>52167.55</v>
      </c>
      <c r="M107" s="261">
        <f t="shared" si="16"/>
        <v>66859.23000000001</v>
      </c>
      <c r="N107" s="261">
        <f t="shared" si="16"/>
        <v>96140.76999999999</v>
      </c>
    </row>
    <row r="108" spans="2:14" ht="16.5" thickBot="1">
      <c r="B108" s="206"/>
      <c r="C108" s="259"/>
      <c r="D108" s="259"/>
      <c r="E108" s="260"/>
      <c r="F108" s="260"/>
      <c r="G108" s="259"/>
      <c r="H108" s="262"/>
      <c r="I108" s="262"/>
      <c r="J108" s="262"/>
      <c r="K108" s="262"/>
      <c r="L108" s="262"/>
      <c r="M108" s="262"/>
      <c r="N108" s="262"/>
    </row>
    <row r="109" spans="2:14" ht="31.5" thickBot="1">
      <c r="B109" s="236" t="s">
        <v>369</v>
      </c>
      <c r="C109" s="237"/>
      <c r="D109" s="237"/>
      <c r="E109" s="237"/>
      <c r="F109" s="237"/>
      <c r="G109" s="237"/>
      <c r="H109" s="237"/>
      <c r="I109" s="237"/>
      <c r="J109" s="237"/>
      <c r="K109" s="237"/>
      <c r="L109" s="237"/>
      <c r="M109" s="237"/>
      <c r="N109" s="248"/>
    </row>
    <row r="110" spans="2:14" ht="18.75" thickBot="1">
      <c r="B110" s="209" t="s">
        <v>0</v>
      </c>
      <c r="C110" s="209" t="s">
        <v>1</v>
      </c>
      <c r="D110" s="209" t="s">
        <v>2</v>
      </c>
      <c r="E110" s="209" t="s">
        <v>13</v>
      </c>
      <c r="F110" s="209" t="s">
        <v>3</v>
      </c>
      <c r="G110" s="209" t="s">
        <v>285</v>
      </c>
      <c r="H110" s="209" t="s">
        <v>28</v>
      </c>
      <c r="I110" s="209" t="s">
        <v>4</v>
      </c>
      <c r="J110" s="209" t="s">
        <v>6</v>
      </c>
      <c r="K110" s="209" t="s">
        <v>5</v>
      </c>
      <c r="L110" s="209" t="s">
        <v>31</v>
      </c>
      <c r="M110" s="209" t="s">
        <v>30</v>
      </c>
      <c r="N110" s="209" t="s">
        <v>29</v>
      </c>
    </row>
    <row r="111" spans="2:14" ht="90">
      <c r="B111" s="188">
        <v>32</v>
      </c>
      <c r="C111" s="193" t="s">
        <v>370</v>
      </c>
      <c r="D111" s="193" t="s">
        <v>371</v>
      </c>
      <c r="E111" s="197" t="s">
        <v>14</v>
      </c>
      <c r="F111" s="188" t="s">
        <v>288</v>
      </c>
      <c r="G111" s="188" t="s">
        <v>323</v>
      </c>
      <c r="H111" s="191">
        <v>40000</v>
      </c>
      <c r="I111" s="191">
        <v>1148</v>
      </c>
      <c r="J111" s="191">
        <v>0</v>
      </c>
      <c r="K111" s="191">
        <v>1216</v>
      </c>
      <c r="L111" s="191">
        <v>6363.55</v>
      </c>
      <c r="M111" s="191">
        <f>I111+J111+K111+L111</f>
        <v>8727.5499999999993</v>
      </c>
      <c r="N111" s="191">
        <f>H111-M111</f>
        <v>31272.45</v>
      </c>
    </row>
    <row r="112" spans="2:14" ht="32.25" thickBot="1">
      <c r="B112" s="206" t="s">
        <v>24</v>
      </c>
      <c r="C112" s="259"/>
      <c r="D112" s="259"/>
      <c r="E112" s="260"/>
      <c r="F112" s="260"/>
      <c r="G112" s="259"/>
      <c r="H112" s="261">
        <f t="shared" ref="H112:N112" si="17">SUM(H109:H111)</f>
        <v>40000</v>
      </c>
      <c r="I112" s="261">
        <f t="shared" si="17"/>
        <v>1148</v>
      </c>
      <c r="J112" s="261">
        <f t="shared" si="17"/>
        <v>0</v>
      </c>
      <c r="K112" s="261">
        <f t="shared" si="17"/>
        <v>1216</v>
      </c>
      <c r="L112" s="261">
        <f t="shared" si="17"/>
        <v>6363.55</v>
      </c>
      <c r="M112" s="261">
        <f t="shared" si="17"/>
        <v>8727.5499999999993</v>
      </c>
      <c r="N112" s="261">
        <f t="shared" si="17"/>
        <v>31272.45</v>
      </c>
    </row>
    <row r="113" spans="2:15" ht="32.25" thickBot="1">
      <c r="B113" s="206" t="s">
        <v>24</v>
      </c>
      <c r="C113" s="193"/>
      <c r="D113" s="193"/>
      <c r="E113" s="197"/>
      <c r="F113" s="197"/>
      <c r="G113" s="197"/>
      <c r="H113" s="263">
        <f t="shared" ref="H113:N113" si="18">H112+H107+H101+H92+H87+H80+H70+H66+H60+H57+H52+H46+H40+H35+H28+H21+H16</f>
        <v>2195000</v>
      </c>
      <c r="I113" s="263">
        <f t="shared" si="18"/>
        <v>62996.5</v>
      </c>
      <c r="J113" s="263">
        <f t="shared" si="18"/>
        <v>153794.73000000001</v>
      </c>
      <c r="K113" s="263">
        <f t="shared" si="18"/>
        <v>66728</v>
      </c>
      <c r="L113" s="263">
        <f t="shared" si="18"/>
        <v>193556.59999999998</v>
      </c>
      <c r="M113" s="263">
        <f t="shared" si="18"/>
        <v>477075.83000000007</v>
      </c>
      <c r="N113" s="263">
        <f t="shared" si="18"/>
        <v>1717924.1700000002</v>
      </c>
    </row>
    <row r="114" spans="2:15" ht="35.25" thickTop="1">
      <c r="B114" s="264" t="s">
        <v>267</v>
      </c>
      <c r="C114" s="222"/>
      <c r="D114" s="222"/>
      <c r="E114" s="222"/>
      <c r="F114" s="222"/>
      <c r="G114" s="222"/>
      <c r="H114" s="234"/>
      <c r="I114" s="234"/>
      <c r="J114" s="234"/>
      <c r="K114" s="234"/>
      <c r="L114" s="234"/>
      <c r="M114" s="234"/>
      <c r="N114" s="234"/>
      <c r="O114" s="265"/>
    </row>
    <row r="115" spans="2:15" ht="17.25">
      <c r="B115" s="264"/>
      <c r="C115" s="222"/>
      <c r="D115" s="222"/>
      <c r="E115" s="222"/>
      <c r="F115" s="222"/>
      <c r="G115" s="222"/>
      <c r="H115" s="266"/>
      <c r="J115" s="266"/>
      <c r="K115" s="266"/>
      <c r="L115" s="266"/>
      <c r="M115" s="266"/>
      <c r="N115" s="267"/>
      <c r="O115" s="265"/>
    </row>
    <row r="116" spans="2:15" ht="17.25">
      <c r="B116" s="264"/>
      <c r="C116" s="222"/>
      <c r="D116" s="222"/>
      <c r="E116" s="222"/>
      <c r="F116" s="222"/>
      <c r="G116" s="222"/>
      <c r="H116" s="266"/>
      <c r="J116" s="266"/>
      <c r="K116" s="266"/>
      <c r="L116" s="266"/>
      <c r="M116" s="266"/>
      <c r="N116" s="267"/>
      <c r="O116" s="265"/>
    </row>
    <row r="117" spans="2:15" ht="17.25">
      <c r="B117" s="264"/>
      <c r="C117" s="222"/>
      <c r="D117" s="222"/>
      <c r="E117" s="222"/>
      <c r="F117" s="222"/>
      <c r="G117" s="222"/>
      <c r="H117" s="266"/>
      <c r="J117" s="266"/>
      <c r="K117" s="266"/>
      <c r="L117" s="266"/>
      <c r="M117" s="266"/>
      <c r="N117" s="267"/>
      <c r="O117" s="265"/>
    </row>
    <row r="118" spans="2:15" ht="17.25">
      <c r="B118" s="264"/>
      <c r="C118" s="222"/>
      <c r="D118" s="222"/>
      <c r="E118" s="222"/>
      <c r="F118" s="222"/>
      <c r="G118" s="222"/>
      <c r="H118" s="266"/>
      <c r="J118" s="266"/>
      <c r="K118" s="266"/>
      <c r="L118" s="266"/>
      <c r="M118" s="266"/>
      <c r="N118" s="267"/>
      <c r="O118" s="265"/>
    </row>
    <row r="119" spans="2:15" ht="17.25">
      <c r="B119" s="15" t="s">
        <v>21</v>
      </c>
      <c r="C119" s="15"/>
      <c r="D119" s="15"/>
      <c r="E119" s="15"/>
      <c r="F119" s="15" t="s">
        <v>224</v>
      </c>
      <c r="G119" s="17" t="s">
        <v>23</v>
      </c>
      <c r="H119" s="17"/>
      <c r="I119" s="17"/>
      <c r="K119" s="133" t="s">
        <v>22</v>
      </c>
      <c r="L119" s="133"/>
      <c r="M119" s="133"/>
      <c r="N119" s="133"/>
    </row>
    <row r="120" spans="2:15" ht="17.25">
      <c r="B120" s="15"/>
      <c r="C120" s="15"/>
      <c r="D120" s="15"/>
      <c r="E120" s="15"/>
      <c r="F120" s="15"/>
      <c r="G120" s="17"/>
      <c r="H120" s="17"/>
      <c r="I120" s="17"/>
      <c r="K120" s="17"/>
      <c r="L120" s="17"/>
      <c r="M120" s="17"/>
      <c r="N120" s="17"/>
    </row>
    <row r="121" spans="2:15" ht="17.25">
      <c r="B121" s="173"/>
      <c r="C121" s="15"/>
      <c r="D121" s="15"/>
      <c r="E121" s="15"/>
      <c r="F121" s="15"/>
      <c r="G121" s="15"/>
      <c r="H121" s="92"/>
      <c r="I121" s="92"/>
      <c r="K121" s="92"/>
      <c r="L121" s="92"/>
      <c r="M121" s="92"/>
      <c r="N121" s="174"/>
      <c r="O121" s="265"/>
    </row>
    <row r="122" spans="2:15" ht="17.25">
      <c r="B122" s="175" t="s">
        <v>372</v>
      </c>
      <c r="C122" s="15"/>
      <c r="D122" s="15"/>
      <c r="E122" s="15"/>
      <c r="F122" s="15"/>
      <c r="G122" s="91" t="s">
        <v>8</v>
      </c>
      <c r="H122" s="17"/>
      <c r="I122" s="17"/>
      <c r="K122" s="135" t="s">
        <v>34</v>
      </c>
      <c r="L122" s="135"/>
      <c r="M122" s="135"/>
      <c r="N122" s="135"/>
    </row>
    <row r="123" spans="2:15" ht="17.25">
      <c r="B123" s="15" t="s">
        <v>373</v>
      </c>
      <c r="C123" s="15"/>
      <c r="D123" s="15"/>
      <c r="E123" s="15"/>
      <c r="F123" s="15"/>
      <c r="G123" s="15" t="s">
        <v>25</v>
      </c>
      <c r="H123" s="17"/>
      <c r="I123" s="17"/>
      <c r="K123" s="133" t="s">
        <v>7</v>
      </c>
      <c r="L123" s="133"/>
      <c r="M123" s="133"/>
      <c r="N123" s="133"/>
    </row>
    <row r="124" spans="2:15" ht="17.25"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</row>
  </sheetData>
  <mergeCells count="22">
    <mergeCell ref="K119:N119"/>
    <mergeCell ref="K122:N122"/>
    <mergeCell ref="K123:N123"/>
    <mergeCell ref="B124:N124"/>
    <mergeCell ref="B77:N77"/>
    <mergeCell ref="B82:N82"/>
    <mergeCell ref="B89:N89"/>
    <mergeCell ref="B94:N94"/>
    <mergeCell ref="B102:N102"/>
    <mergeCell ref="B109:N109"/>
    <mergeCell ref="B43:N43"/>
    <mergeCell ref="B48:N48"/>
    <mergeCell ref="B54:N54"/>
    <mergeCell ref="B58:N58"/>
    <mergeCell ref="B62:N62"/>
    <mergeCell ref="B68:N68"/>
    <mergeCell ref="B5:N10"/>
    <mergeCell ref="B12:N12"/>
    <mergeCell ref="B18:N18"/>
    <mergeCell ref="B23:N23"/>
    <mergeCell ref="B30:N30"/>
    <mergeCell ref="B37:N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EA7BE0-5EA8-42DE-ADA1-32BD9CD71AE1}"/>
</file>

<file path=customXml/itemProps2.xml><?xml version="1.0" encoding="utf-8"?>
<ds:datastoreItem xmlns:ds="http://schemas.openxmlformats.org/officeDocument/2006/customXml" ds:itemID="{030C1C8F-E1C7-4B03-B499-E779A23DCC37}"/>
</file>

<file path=customXml/itemProps3.xml><?xml version="1.0" encoding="utf-8"?>
<ds:datastoreItem xmlns:ds="http://schemas.openxmlformats.org/officeDocument/2006/customXml" ds:itemID="{8A6E8A82-AD82-4B4A-BA28-E025FE4AF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Fija </vt:lpstr>
      <vt:lpstr>Periodo Probatorio </vt:lpstr>
      <vt:lpstr>Hoja2</vt:lpstr>
      <vt:lpstr>Contratados </vt:lpstr>
      <vt:lpstr>'Fija '!Área_de_impresión</vt:lpstr>
      <vt:lpstr>'Fija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Kathia Veléz Ramírez</dc:creator>
  <cp:lastModifiedBy>Driades Nayade Ferreras Gómez</cp:lastModifiedBy>
  <cp:lastPrinted>2026-09-09T14:31:35Z</cp:lastPrinted>
  <dcterms:created xsi:type="dcterms:W3CDTF">2020-09-29T17:23:37Z</dcterms:created>
  <dcterms:modified xsi:type="dcterms:W3CDTF">2026-09-18T15:16:14Z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