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yo/"/>
    </mc:Choice>
  </mc:AlternateContent>
  <xr:revisionPtr revIDLastSave="0" documentId="8_{A6DC4EC2-7705-40B1-97C1-16DFB185D7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jo " sheetId="4" r:id="rId1"/>
    <sheet name="Contratado" sheetId="1" r:id="rId2"/>
    <sheet name="Vigilancia " sheetId="2" r:id="rId3"/>
  </sheets>
  <definedNames>
    <definedName name="_xlnm.Print_Area" localSheetId="1">Contratado!$A$1:$M$99</definedName>
    <definedName name="_xlnm.Print_Titles" localSheetId="1">Contratado!$1:$6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8" i="4" l="1"/>
  <c r="K196" i="4"/>
  <c r="I196" i="4"/>
  <c r="G196" i="4"/>
  <c r="J195" i="4"/>
  <c r="J196" i="4" s="1"/>
  <c r="H195" i="4"/>
  <c r="H196" i="4" s="1"/>
  <c r="L194" i="4"/>
  <c r="H194" i="4"/>
  <c r="K191" i="4"/>
  <c r="J190" i="4"/>
  <c r="J191" i="4" s="1"/>
  <c r="I190" i="4"/>
  <c r="I191" i="4" s="1"/>
  <c r="H190" i="4"/>
  <c r="L190" i="4" s="1"/>
  <c r="G190" i="4"/>
  <c r="M190" i="4" s="1"/>
  <c r="L189" i="4"/>
  <c r="M189" i="4" s="1"/>
  <c r="M191" i="4" s="1"/>
  <c r="K186" i="4"/>
  <c r="J186" i="4"/>
  <c r="I186" i="4"/>
  <c r="H186" i="4"/>
  <c r="G186" i="4"/>
  <c r="L185" i="4"/>
  <c r="M185" i="4" s="1"/>
  <c r="L184" i="4"/>
  <c r="M184" i="4" s="1"/>
  <c r="M183" i="4"/>
  <c r="L183" i="4"/>
  <c r="L182" i="4"/>
  <c r="M182" i="4" s="1"/>
  <c r="L181" i="4"/>
  <c r="M181" i="4" s="1"/>
  <c r="L180" i="4"/>
  <c r="M180" i="4" s="1"/>
  <c r="L179" i="4"/>
  <c r="L186" i="4" s="1"/>
  <c r="K174" i="4"/>
  <c r="J174" i="4"/>
  <c r="I174" i="4"/>
  <c r="G174" i="4"/>
  <c r="M173" i="4"/>
  <c r="L173" i="4"/>
  <c r="M172" i="4"/>
  <c r="L172" i="4"/>
  <c r="L171" i="4"/>
  <c r="M171" i="4" s="1"/>
  <c r="L170" i="4"/>
  <c r="M170" i="4" s="1"/>
  <c r="L169" i="4"/>
  <c r="M169" i="4" s="1"/>
  <c r="L168" i="4"/>
  <c r="M168" i="4" s="1"/>
  <c r="J168" i="4"/>
  <c r="I168" i="4"/>
  <c r="H168" i="4"/>
  <c r="H174" i="4" s="1"/>
  <c r="G168" i="4"/>
  <c r="M167" i="4"/>
  <c r="L167" i="4"/>
  <c r="L166" i="4"/>
  <c r="M166" i="4" s="1"/>
  <c r="L165" i="4"/>
  <c r="M165" i="4" s="1"/>
  <c r="L164" i="4"/>
  <c r="M164" i="4" s="1"/>
  <c r="L163" i="4"/>
  <c r="M163" i="4" s="1"/>
  <c r="K160" i="4"/>
  <c r="I160" i="4"/>
  <c r="G160" i="4"/>
  <c r="J159" i="4"/>
  <c r="H159" i="4"/>
  <c r="L159" i="4" s="1"/>
  <c r="M159" i="4" s="1"/>
  <c r="H158" i="4"/>
  <c r="L158" i="4" s="1"/>
  <c r="M158" i="4" s="1"/>
  <c r="J157" i="4"/>
  <c r="J160" i="4" s="1"/>
  <c r="H157" i="4"/>
  <c r="L157" i="4" s="1"/>
  <c r="M157" i="4" s="1"/>
  <c r="K154" i="4"/>
  <c r="I154" i="4"/>
  <c r="L153" i="4"/>
  <c r="M153" i="4" s="1"/>
  <c r="J152" i="4"/>
  <c r="I152" i="4"/>
  <c r="H152" i="4"/>
  <c r="L152" i="4" s="1"/>
  <c r="M152" i="4" s="1"/>
  <c r="G152" i="4"/>
  <c r="L151" i="4"/>
  <c r="M151" i="4" s="1"/>
  <c r="L150" i="4"/>
  <c r="M150" i="4" s="1"/>
  <c r="J149" i="4"/>
  <c r="J154" i="4" s="1"/>
  <c r="H149" i="4"/>
  <c r="H154" i="4" s="1"/>
  <c r="G149" i="4"/>
  <c r="G154" i="4" s="1"/>
  <c r="K146" i="4"/>
  <c r="J145" i="4"/>
  <c r="J146" i="4" s="1"/>
  <c r="I145" i="4"/>
  <c r="I146" i="4" s="1"/>
  <c r="H145" i="4"/>
  <c r="L145" i="4" s="1"/>
  <c r="G145" i="4"/>
  <c r="M145" i="4" s="1"/>
  <c r="M144" i="4"/>
  <c r="L144" i="4"/>
  <c r="L143" i="4"/>
  <c r="M143" i="4" s="1"/>
  <c r="L142" i="4"/>
  <c r="M142" i="4" s="1"/>
  <c r="L141" i="4"/>
  <c r="L146" i="4" s="1"/>
  <c r="M137" i="4"/>
  <c r="L137" i="4"/>
  <c r="K137" i="4"/>
  <c r="J137" i="4"/>
  <c r="I137" i="4"/>
  <c r="H137" i="4"/>
  <c r="G137" i="4"/>
  <c r="M136" i="4"/>
  <c r="L136" i="4"/>
  <c r="M135" i="4"/>
  <c r="L135" i="4"/>
  <c r="M134" i="4"/>
  <c r="L134" i="4"/>
  <c r="K131" i="4"/>
  <c r="J131" i="4"/>
  <c r="I131" i="4"/>
  <c r="H131" i="4"/>
  <c r="G131" i="4"/>
  <c r="J130" i="4"/>
  <c r="I130" i="4"/>
  <c r="H130" i="4"/>
  <c r="L130" i="4" s="1"/>
  <c r="G130" i="4"/>
  <c r="K127" i="4"/>
  <c r="J127" i="4"/>
  <c r="I127" i="4"/>
  <c r="H127" i="4"/>
  <c r="G127" i="4"/>
  <c r="L126" i="4"/>
  <c r="M126" i="4" s="1"/>
  <c r="L125" i="4"/>
  <c r="M125" i="4" s="1"/>
  <c r="M124" i="4"/>
  <c r="L124" i="4"/>
  <c r="M123" i="4"/>
  <c r="L123" i="4"/>
  <c r="L122" i="4"/>
  <c r="M122" i="4" s="1"/>
  <c r="L121" i="4"/>
  <c r="M121" i="4" s="1"/>
  <c r="L120" i="4"/>
  <c r="M120" i="4" s="1"/>
  <c r="L119" i="4"/>
  <c r="M119" i="4" s="1"/>
  <c r="L118" i="4"/>
  <c r="M118" i="4" s="1"/>
  <c r="M117" i="4"/>
  <c r="L117" i="4"/>
  <c r="M116" i="4"/>
  <c r="L116" i="4"/>
  <c r="L115" i="4"/>
  <c r="M115" i="4" s="1"/>
  <c r="L114" i="4"/>
  <c r="M114" i="4" s="1"/>
  <c r="L113" i="4"/>
  <c r="M113" i="4" s="1"/>
  <c r="L112" i="4"/>
  <c r="M112" i="4" s="1"/>
  <c r="L111" i="4"/>
  <c r="M111" i="4" s="1"/>
  <c r="M110" i="4"/>
  <c r="L110" i="4"/>
  <c r="M109" i="4"/>
  <c r="L109" i="4"/>
  <c r="L108" i="4"/>
  <c r="L127" i="4" s="1"/>
  <c r="K105" i="4"/>
  <c r="J105" i="4"/>
  <c r="I105" i="4"/>
  <c r="H105" i="4"/>
  <c r="J104" i="4"/>
  <c r="I104" i="4"/>
  <c r="L104" i="4" s="1"/>
  <c r="L105" i="4" s="1"/>
  <c r="H104" i="4"/>
  <c r="G104" i="4"/>
  <c r="G105" i="4" s="1"/>
  <c r="K101" i="4"/>
  <c r="J101" i="4"/>
  <c r="I101" i="4"/>
  <c r="H101" i="4"/>
  <c r="G101" i="4"/>
  <c r="M100" i="4"/>
  <c r="L100" i="4"/>
  <c r="M99" i="4"/>
  <c r="L99" i="4"/>
  <c r="M98" i="4"/>
  <c r="L98" i="4"/>
  <c r="L97" i="4"/>
  <c r="M97" i="4" s="1"/>
  <c r="L96" i="4"/>
  <c r="M96" i="4" s="1"/>
  <c r="L95" i="4"/>
  <c r="M95" i="4" s="1"/>
  <c r="L94" i="4"/>
  <c r="M94" i="4" s="1"/>
  <c r="L93" i="4"/>
  <c r="M93" i="4" s="1"/>
  <c r="K90" i="4"/>
  <c r="J90" i="4"/>
  <c r="I90" i="4"/>
  <c r="H90" i="4"/>
  <c r="G90" i="4"/>
  <c r="L89" i="4"/>
  <c r="M89" i="4" s="1"/>
  <c r="M88" i="4"/>
  <c r="L87" i="4"/>
  <c r="M87" i="4" s="1"/>
  <c r="K84" i="4"/>
  <c r="I84" i="4"/>
  <c r="G84" i="4"/>
  <c r="J83" i="4"/>
  <c r="J84" i="4" s="1"/>
  <c r="H83" i="4"/>
  <c r="L83" i="4" s="1"/>
  <c r="K80" i="4"/>
  <c r="I80" i="4"/>
  <c r="J79" i="4"/>
  <c r="J80" i="4" s="1"/>
  <c r="H79" i="4"/>
  <c r="H80" i="4" s="1"/>
  <c r="G79" i="4"/>
  <c r="L78" i="4"/>
  <c r="M78" i="4" s="1"/>
  <c r="K72" i="4"/>
  <c r="J72" i="4"/>
  <c r="I72" i="4"/>
  <c r="H72" i="4"/>
  <c r="L71" i="4"/>
  <c r="M71" i="4" s="1"/>
  <c r="L70" i="4"/>
  <c r="G70" i="4"/>
  <c r="M70" i="4" s="1"/>
  <c r="L69" i="4"/>
  <c r="M69" i="4" s="1"/>
  <c r="L68" i="4"/>
  <c r="M68" i="4" s="1"/>
  <c r="L67" i="4"/>
  <c r="M67" i="4" s="1"/>
  <c r="L66" i="4"/>
  <c r="M66" i="4" s="1"/>
  <c r="K63" i="4"/>
  <c r="G63" i="4"/>
  <c r="L62" i="4"/>
  <c r="L63" i="4" s="1"/>
  <c r="J62" i="4"/>
  <c r="J63" i="4" s="1"/>
  <c r="I62" i="4"/>
  <c r="I63" i="4" s="1"/>
  <c r="H62" i="4"/>
  <c r="H63" i="4" s="1"/>
  <c r="G62" i="4"/>
  <c r="J59" i="4"/>
  <c r="K58" i="4"/>
  <c r="I58" i="4"/>
  <c r="H58" i="4"/>
  <c r="L58" i="4" s="1"/>
  <c r="G58" i="4"/>
  <c r="K57" i="4"/>
  <c r="K59" i="4" s="1"/>
  <c r="J57" i="4"/>
  <c r="I57" i="4"/>
  <c r="I59" i="4" s="1"/>
  <c r="H57" i="4"/>
  <c r="L57" i="4" s="1"/>
  <c r="G57" i="4"/>
  <c r="M57" i="4" s="1"/>
  <c r="K54" i="4"/>
  <c r="J54" i="4"/>
  <c r="I54" i="4"/>
  <c r="H54" i="4"/>
  <c r="G54" i="4"/>
  <c r="M53" i="4"/>
  <c r="L53" i="4"/>
  <c r="M52" i="4"/>
  <c r="L52" i="4"/>
  <c r="M51" i="4"/>
  <c r="L51" i="4"/>
  <c r="H50" i="4"/>
  <c r="G50" i="4"/>
  <c r="M50" i="4" s="1"/>
  <c r="L49" i="4"/>
  <c r="M49" i="4" s="1"/>
  <c r="L48" i="4"/>
  <c r="M48" i="4" s="1"/>
  <c r="M47" i="4"/>
  <c r="M54" i="4" s="1"/>
  <c r="L47" i="4"/>
  <c r="K42" i="4"/>
  <c r="H42" i="4"/>
  <c r="G42" i="4"/>
  <c r="L41" i="4"/>
  <c r="M41" i="4" s="1"/>
  <c r="J40" i="4"/>
  <c r="J42" i="4" s="1"/>
  <c r="I40" i="4"/>
  <c r="L40" i="4" s="1"/>
  <c r="H40" i="4"/>
  <c r="G40" i="4"/>
  <c r="I37" i="4"/>
  <c r="G37" i="4"/>
  <c r="K36" i="4"/>
  <c r="K37" i="4" s="1"/>
  <c r="J36" i="4"/>
  <c r="J37" i="4" s="1"/>
  <c r="H36" i="4"/>
  <c r="L36" i="4" s="1"/>
  <c r="M36" i="4" s="1"/>
  <c r="G36" i="4"/>
  <c r="L35" i="4"/>
  <c r="M35" i="4" s="1"/>
  <c r="L34" i="4"/>
  <c r="M34" i="4" s="1"/>
  <c r="L33" i="4"/>
  <c r="M33" i="4" s="1"/>
  <c r="L32" i="4"/>
  <c r="M32" i="4" s="1"/>
  <c r="M37" i="4" s="1"/>
  <c r="K29" i="4"/>
  <c r="J29" i="4"/>
  <c r="I29" i="4"/>
  <c r="J28" i="4"/>
  <c r="I28" i="4"/>
  <c r="H28" i="4"/>
  <c r="H29" i="4" s="1"/>
  <c r="G28" i="4"/>
  <c r="K25" i="4"/>
  <c r="J25" i="4"/>
  <c r="I25" i="4"/>
  <c r="H25" i="4"/>
  <c r="G25" i="4"/>
  <c r="L24" i="4"/>
  <c r="M24" i="4" s="1"/>
  <c r="L23" i="4"/>
  <c r="M23" i="4" s="1"/>
  <c r="L22" i="4"/>
  <c r="M22" i="4" s="1"/>
  <c r="L21" i="4"/>
  <c r="M21" i="4" s="1"/>
  <c r="L20" i="4"/>
  <c r="M20" i="4" s="1"/>
  <c r="L19" i="4"/>
  <c r="L25" i="4" s="1"/>
  <c r="M18" i="4"/>
  <c r="L18" i="4"/>
  <c r="L17" i="4"/>
  <c r="M17" i="4" s="1"/>
  <c r="L16" i="4"/>
  <c r="M16" i="4" s="1"/>
  <c r="L15" i="4"/>
  <c r="M15" i="4" s="1"/>
  <c r="L14" i="4"/>
  <c r="M14" i="4" s="1"/>
  <c r="L84" i="4" l="1"/>
  <c r="M83" i="4"/>
  <c r="M84" i="4" s="1"/>
  <c r="M174" i="4"/>
  <c r="M25" i="4"/>
  <c r="M59" i="4"/>
  <c r="M90" i="4"/>
  <c r="L59" i="4"/>
  <c r="M79" i="4"/>
  <c r="M80" i="4" s="1"/>
  <c r="M72" i="4"/>
  <c r="M130" i="4"/>
  <c r="M131" i="4" s="1"/>
  <c r="L131" i="4"/>
  <c r="L42" i="4"/>
  <c r="M40" i="4"/>
  <c r="M42" i="4" s="1"/>
  <c r="M58" i="4"/>
  <c r="M101" i="4"/>
  <c r="L72" i="4"/>
  <c r="M194" i="4"/>
  <c r="M62" i="4"/>
  <c r="M63" i="4" s="1"/>
  <c r="M149" i="4"/>
  <c r="M154" i="4" s="1"/>
  <c r="L195" i="4"/>
  <c r="M195" i="4" s="1"/>
  <c r="L101" i="4"/>
  <c r="H37" i="4"/>
  <c r="H59" i="4"/>
  <c r="M108" i="4"/>
  <c r="M127" i="4" s="1"/>
  <c r="G146" i="4"/>
  <c r="H191" i="4"/>
  <c r="I42" i="4"/>
  <c r="L79" i="4"/>
  <c r="L80" i="4" s="1"/>
  <c r="H84" i="4"/>
  <c r="M141" i="4"/>
  <c r="M146" i="4" s="1"/>
  <c r="H146" i="4"/>
  <c r="H160" i="4"/>
  <c r="L160" i="4" s="1"/>
  <c r="M160" i="4" s="1"/>
  <c r="L174" i="4"/>
  <c r="L54" i="4"/>
  <c r="M179" i="4"/>
  <c r="M186" i="4" s="1"/>
  <c r="L28" i="4"/>
  <c r="L29" i="4" s="1"/>
  <c r="L37" i="4"/>
  <c r="G80" i="4"/>
  <c r="L90" i="4"/>
  <c r="M19" i="4"/>
  <c r="L191" i="4"/>
  <c r="L149" i="4"/>
  <c r="L154" i="4" s="1"/>
  <c r="G59" i="4"/>
  <c r="G191" i="4"/>
  <c r="G29" i="4"/>
  <c r="M104" i="4"/>
  <c r="M105" i="4" s="1"/>
  <c r="M28" i="4" l="1"/>
  <c r="M29" i="4"/>
  <c r="M196" i="4"/>
  <c r="L196" i="4"/>
  <c r="J19" i="2" l="1"/>
  <c r="H19" i="2"/>
  <c r="K18" i="2"/>
  <c r="K19" i="2" s="1"/>
  <c r="I18" i="2"/>
  <c r="I19" i="2" s="1"/>
  <c r="H18" i="2"/>
  <c r="G18" i="2"/>
  <c r="G19" i="2" s="1"/>
  <c r="L17" i="2"/>
  <c r="M17" i="2" s="1"/>
  <c r="L16" i="2"/>
  <c r="M16" i="2" s="1"/>
  <c r="L15" i="2"/>
  <c r="M15" i="2" s="1"/>
  <c r="L14" i="2"/>
  <c r="L13" i="2"/>
  <c r="M13" i="2" s="1"/>
  <c r="M18" i="2" s="1"/>
  <c r="M19" i="2" s="1"/>
  <c r="L18" i="2" l="1"/>
  <c r="L19" i="2" s="1"/>
  <c r="K22" i="1" l="1"/>
  <c r="J22" i="1"/>
  <c r="I22" i="1"/>
  <c r="H22" i="1"/>
  <c r="G22" i="1"/>
  <c r="L21" i="1"/>
  <c r="M21" i="1" s="1"/>
  <c r="L20" i="1"/>
  <c r="M20" i="1" s="1"/>
  <c r="J42" i="1"/>
  <c r="K87" i="1"/>
  <c r="J87" i="1"/>
  <c r="I87" i="1"/>
  <c r="G87" i="1"/>
  <c r="K56" i="1"/>
  <c r="J56" i="1"/>
  <c r="I56" i="1"/>
  <c r="H56" i="1"/>
  <c r="G56" i="1"/>
  <c r="L86" i="1"/>
  <c r="M86" i="1" s="1"/>
  <c r="L19" i="1"/>
  <c r="L22" i="1" s="1"/>
  <c r="K92" i="1"/>
  <c r="J92" i="1"/>
  <c r="I92" i="1"/>
  <c r="G92" i="1"/>
  <c r="K44" i="1"/>
  <c r="H44" i="1"/>
  <c r="G44" i="1"/>
  <c r="L43" i="1"/>
  <c r="M43" i="1" s="1"/>
  <c r="I12" i="1"/>
  <c r="L91" i="1"/>
  <c r="M91" i="1" s="1"/>
  <c r="L85" i="1" l="1"/>
  <c r="M85" i="1" s="1"/>
  <c r="K12" i="1"/>
  <c r="I66" i="1"/>
  <c r="K28" i="1"/>
  <c r="J28" i="1"/>
  <c r="I28" i="1"/>
  <c r="G28" i="1"/>
  <c r="L27" i="1"/>
  <c r="M27" i="1" s="1"/>
  <c r="I16" i="1"/>
  <c r="L15" i="1"/>
  <c r="M19" i="1" l="1"/>
  <c r="M22" i="1" s="1"/>
  <c r="H84" i="1"/>
  <c r="H87" i="1" s="1"/>
  <c r="J12" i="1"/>
  <c r="G12" i="1"/>
  <c r="H26" i="1"/>
  <c r="H48" i="1"/>
  <c r="L48" i="1" s="1"/>
  <c r="M48" i="1" s="1"/>
  <c r="K50" i="1"/>
  <c r="I50" i="1"/>
  <c r="G50" i="1"/>
  <c r="J50" i="1"/>
  <c r="H47" i="1"/>
  <c r="K37" i="1"/>
  <c r="J37" i="1"/>
  <c r="I37" i="1"/>
  <c r="G37" i="1"/>
  <c r="H36" i="1"/>
  <c r="L36" i="1" s="1"/>
  <c r="L37" i="1" s="1"/>
  <c r="L25" i="1"/>
  <c r="L26" i="1" l="1"/>
  <c r="M26" i="1" s="1"/>
  <c r="H28" i="1"/>
  <c r="L84" i="1"/>
  <c r="L87" i="1" s="1"/>
  <c r="L47" i="1"/>
  <c r="H37" i="1"/>
  <c r="M36" i="1"/>
  <c r="M37" i="1" s="1"/>
  <c r="L28" i="1" l="1"/>
  <c r="M84" i="1"/>
  <c r="M87" i="1" s="1"/>
  <c r="M47" i="1"/>
  <c r="K16" i="1" l="1"/>
  <c r="K93" i="1" s="1"/>
  <c r="J16" i="1"/>
  <c r="H16" i="1"/>
  <c r="G16" i="1"/>
  <c r="L16" i="1"/>
  <c r="H11" i="1"/>
  <c r="H31" i="1"/>
  <c r="H32" i="1" s="1"/>
  <c r="G32" i="1"/>
  <c r="K32" i="1"/>
  <c r="G81" i="1"/>
  <c r="K66" i="1"/>
  <c r="G66" i="1"/>
  <c r="I81" i="1"/>
  <c r="K81" i="1"/>
  <c r="H49" i="1"/>
  <c r="L49" i="1" s="1"/>
  <c r="K73" i="1"/>
  <c r="I73" i="1"/>
  <c r="J73" i="1"/>
  <c r="G73" i="1"/>
  <c r="H72" i="1"/>
  <c r="M72" i="1" s="1"/>
  <c r="G93" i="1" l="1"/>
  <c r="L11" i="1"/>
  <c r="M11" i="1" s="1"/>
  <c r="H12" i="1"/>
  <c r="H50" i="1"/>
  <c r="L31" i="1"/>
  <c r="M31" i="1" s="1"/>
  <c r="M32" i="1" s="1"/>
  <c r="M49" i="1"/>
  <c r="M15" i="1"/>
  <c r="M16" i="1" s="1"/>
  <c r="M25" i="1"/>
  <c r="M28" i="1" s="1"/>
  <c r="H73" i="1"/>
  <c r="L73" i="1" s="1"/>
  <c r="M73" i="1" s="1"/>
  <c r="M50" i="1" l="1"/>
  <c r="L50" i="1"/>
  <c r="L32" i="1"/>
  <c r="H79" i="1"/>
  <c r="L79" i="1" s="1"/>
  <c r="M79" i="1" s="1"/>
  <c r="H80" i="1" l="1"/>
  <c r="H78" i="1"/>
  <c r="H77" i="1"/>
  <c r="J65" i="1"/>
  <c r="J64" i="1"/>
  <c r="H65" i="1"/>
  <c r="H66" i="1" s="1"/>
  <c r="H59" i="1"/>
  <c r="J59" i="1"/>
  <c r="J66" i="1" l="1"/>
  <c r="L65" i="1"/>
  <c r="L64" i="1"/>
  <c r="L59" i="1"/>
  <c r="L55" i="1"/>
  <c r="M55" i="1" s="1"/>
  <c r="L54" i="1"/>
  <c r="L56" i="1" l="1"/>
  <c r="M59" i="1"/>
  <c r="M54" i="1"/>
  <c r="M56" i="1" s="1"/>
  <c r="L10" i="1"/>
  <c r="L12" i="1" s="1"/>
  <c r="L77" i="1" l="1"/>
  <c r="M64" i="1"/>
  <c r="H90" i="1"/>
  <c r="H92" i="1" s="1"/>
  <c r="H76" i="1"/>
  <c r="J80" i="1"/>
  <c r="J78" i="1"/>
  <c r="J81" i="1" l="1"/>
  <c r="L76" i="1"/>
  <c r="H81" i="1"/>
  <c r="L66" i="1"/>
  <c r="L90" i="1"/>
  <c r="L92" i="1" s="1"/>
  <c r="M77" i="1"/>
  <c r="L80" i="1"/>
  <c r="M80" i="1" s="1"/>
  <c r="M65" i="1"/>
  <c r="L78" i="1"/>
  <c r="M90" i="1" l="1"/>
  <c r="M92" i="1" s="1"/>
  <c r="L81" i="1"/>
  <c r="M76" i="1"/>
  <c r="M78" i="1"/>
  <c r="M66" i="1"/>
  <c r="M81" i="1" l="1"/>
  <c r="M10" i="1"/>
  <c r="M12" i="1" s="1"/>
  <c r="J44" i="1" l="1"/>
  <c r="L42" i="1" l="1"/>
  <c r="L44" i="1" s="1"/>
  <c r="M42" i="1" l="1"/>
  <c r="M44" i="1" l="1"/>
  <c r="H93" i="1" l="1"/>
  <c r="I93" i="1"/>
  <c r="J93" i="1"/>
  <c r="L93" i="1"/>
  <c r="M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Ivis N. Montero Matos</author>
  </authors>
  <commentList>
    <comment ref="M160" authorId="0" shapeId="0" xr:uid="{EFD8BC40-13AA-461E-A6A1-B4A0885CB745}">
      <text>
        <r>
          <rPr>
            <b/>
            <sz val="9"/>
            <color indexed="81"/>
            <rFont val="Tahoma"/>
            <family val="2"/>
          </rPr>
          <t>Ivis N. Montero Matos:</t>
        </r>
        <r>
          <rPr>
            <sz val="9"/>
            <color indexed="81"/>
            <rFont val="Tahoma"/>
            <family val="2"/>
          </rPr>
          <t xml:space="preserve">
CONTINUAR AQUÍ CON DIFERENCIA DE 0.60</t>
        </r>
      </text>
    </comment>
  </commentList>
</comments>
</file>

<file path=xl/sharedStrings.xml><?xml version="1.0" encoding="utf-8"?>
<sst xmlns="http://schemas.openxmlformats.org/spreadsheetml/2006/main" count="1285" uniqueCount="362">
  <si>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</si>
  <si>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</si>
  <si>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</si>
  <si>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</si>
  <si>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</si>
  <si>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</si>
  <si>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</si>
  <si>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</si>
  <si>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>SRA. CATALINA FELIZ TERRERO</t>
  </si>
  <si>
    <t>TECNICO ADMINISTRATIVO</t>
  </si>
  <si>
    <t>CARMEN DAIANA GONZALEZ MOREL</t>
  </si>
  <si>
    <t>HALINSON HIPOLITO DE LA CRUZ JIMENEZ</t>
  </si>
  <si>
    <t>EUGENIO EMILIO MORETA PEREZ</t>
  </si>
  <si>
    <t>Nombramiento Temporal</t>
  </si>
  <si>
    <t>SERVIDOR PÚBLICO CONTRATADO</t>
  </si>
  <si>
    <t>MABEL ARLETTE FERNANDEZ MATEO</t>
  </si>
  <si>
    <t>ANALISTA DE INVESTIGACION</t>
  </si>
  <si>
    <t>Actividad: 0001</t>
  </si>
  <si>
    <t xml:space="preserve">                           </t>
  </si>
  <si>
    <t>ARMANDO JOSE RABASSA ROSARIO</t>
  </si>
  <si>
    <t>DISEÑADOR GRAFICO</t>
  </si>
  <si>
    <t>Actividad: 0002</t>
  </si>
  <si>
    <t>JUAN DE LA ROSA BELLO CUEVAS</t>
  </si>
  <si>
    <t>COORDINADOR ACADEMICO</t>
  </si>
  <si>
    <t>FAUSTINA PÉREZ DE CASTILLO</t>
  </si>
  <si>
    <t>COORDINADORA ACADEMICO</t>
  </si>
  <si>
    <t>YANIRIS ALTAGRACIA ESPINAL JORGE</t>
  </si>
  <si>
    <t>EVELYN AMADOR CASTILLO</t>
  </si>
  <si>
    <t>DEANNYS MILAGROS GONZALEZ JIMENEZ</t>
  </si>
  <si>
    <t>ELSA ALEJANDRINA CARRASCO VARGAS</t>
  </si>
  <si>
    <t>JULIO CESAR CASTRO</t>
  </si>
  <si>
    <t>ARLENE  IRENE BENCOSME REYES</t>
  </si>
  <si>
    <t>ANALISTA DE ACREDITACION Y CE</t>
  </si>
  <si>
    <t xml:space="preserve">  </t>
  </si>
  <si>
    <t>MARIO ALBERTO CRUSSET NUÑEZ</t>
  </si>
  <si>
    <t>Genero</t>
  </si>
  <si>
    <t>M</t>
  </si>
  <si>
    <t>F</t>
  </si>
  <si>
    <t>Cuenta: 2.1.1.2.0.8</t>
  </si>
  <si>
    <t>Capitulo: 221</t>
  </si>
  <si>
    <t>DAF: 01</t>
  </si>
  <si>
    <t>UE: 0002</t>
  </si>
  <si>
    <t>Programa: 17</t>
  </si>
  <si>
    <t>Proyecto: 0</t>
  </si>
  <si>
    <t>Fondo: 0100</t>
  </si>
  <si>
    <t>UE: 002</t>
  </si>
  <si>
    <t xml:space="preserve">                              PREPARADO POR:</t>
  </si>
  <si>
    <t>APROBADO POR:</t>
  </si>
  <si>
    <t>REVISADO POR:</t>
  </si>
  <si>
    <t>Sub Total:</t>
  </si>
  <si>
    <t>Total General:</t>
  </si>
  <si>
    <t>ENC. ADMINISTRATIVO FINANCIERO</t>
  </si>
  <si>
    <t>Sub Capitulo: 01</t>
  </si>
  <si>
    <t>Sub Programa: 02</t>
  </si>
  <si>
    <t>Ingreso Bruto</t>
  </si>
  <si>
    <t>Neto</t>
  </si>
  <si>
    <t>Total Desc.</t>
  </si>
  <si>
    <t>Otros Desc.</t>
  </si>
  <si>
    <t>GISSEL MANZUETA NUÑEZ</t>
  </si>
  <si>
    <t xml:space="preserve">COORDINADOR ACADÉMICO         </t>
  </si>
  <si>
    <t xml:space="preserve">ENCARGADO DEL DEPARTAMENTO DE PLANIFICACIÓN Y DESARROLLO       </t>
  </si>
  <si>
    <t xml:space="preserve">ENCARGADO DEPARTAMENTO DE FORMACION DOCENTE         </t>
  </si>
  <si>
    <t>YILIAM DE LA ROSA MALDONADO</t>
  </si>
  <si>
    <t xml:space="preserve">TÉCNICO DE CONTABILIDAD         </t>
  </si>
  <si>
    <t>DIVISIÓN DE CONTABILIDAD</t>
  </si>
  <si>
    <t>MELISSA DE LA ROSA RODRÍGUEZ</t>
  </si>
  <si>
    <t xml:space="preserve">ENCARGADO (A) FORMULACION, MONITOREO Y EVALUACION PPP         </t>
  </si>
  <si>
    <t xml:space="preserve">ENCARGADO/A SECCION DE ALMACEN         </t>
  </si>
  <si>
    <t xml:space="preserve">TÉCNICO ADMINISTRATIVO         </t>
  </si>
  <si>
    <t>MARTIN APOLONIO SANCHEZ ARTILES</t>
  </si>
  <si>
    <t>ANGEL PASTOR DE JESUS MORENO GARCIA</t>
  </si>
  <si>
    <t>ELVINALISA DEL CARMEN ALMONTE REODRIGUEZ</t>
  </si>
  <si>
    <t xml:space="preserve">                                          SRA. IVIS N. MONTERO MATOS</t>
  </si>
  <si>
    <t xml:space="preserve">                           CONTADORA</t>
  </si>
  <si>
    <t>ENCARGADO DEL CENTRO DE DOCUMENTACION</t>
  </si>
  <si>
    <t>ENCARGADO DE LA DIVISION ADMINISTRATIVA</t>
  </si>
  <si>
    <t>ENCARGADO OFICINA REGIONAL NORTE</t>
  </si>
  <si>
    <t>SR. GREGORIO MONTERO</t>
  </si>
  <si>
    <t>GLENNYS ARLENE DIAZ RAMRIEZ</t>
  </si>
  <si>
    <t>ANALISTA DE RECURSOS HUMANOS</t>
  </si>
  <si>
    <t>DEPARTAMENTO DE RECURSOS HUMANOS</t>
  </si>
  <si>
    <t>DEPARTAMENTO DE COMUNICACIONES</t>
  </si>
  <si>
    <t>DEPARTAMENTO DE PLANIFICACION Y DESARROLLO</t>
  </si>
  <si>
    <t>SECCION DE COMPRAS Y CONTRATACIONES</t>
  </si>
  <si>
    <t>DEPARTAMENTO DE INVESTIGACION E INNOVACION</t>
  </si>
  <si>
    <t>DEPARTAMENTO TECNICO ACADEMICO</t>
  </si>
  <si>
    <t>DEPARTAMENTO DE RECURSOS FORMATIVOS DIGITALES</t>
  </si>
  <si>
    <t>DIVISION DE EXTENSIONES</t>
  </si>
  <si>
    <t>DIVISION DE ADMISION E INFORMACION</t>
  </si>
  <si>
    <t>SECCION DE ALMACEN</t>
  </si>
  <si>
    <t>INSTITUTO NACIONAL DE ADMINISTRACION PUBLICA</t>
  </si>
  <si>
    <t>JUANA ELENA RODRIGUEZ VASQUEZ</t>
  </si>
  <si>
    <t>ANALISTA DE PROGRAMACION ACADEMICA</t>
  </si>
  <si>
    <t>ENC. DEL DEPARTAMENTO DE COMUNCIACIONES</t>
  </si>
  <si>
    <t>DIVISIÓN DE COORDINACION DE EVENTOS FORMATIVOS</t>
  </si>
  <si>
    <t>PEDRO MICHEL FIGUEROA</t>
  </si>
  <si>
    <t>DEPARTAMENTO JURIDICO</t>
  </si>
  <si>
    <t>BIEMBO ARIEL DE OLEO DE OLEO</t>
  </si>
  <si>
    <t>ANALISTA LEGAL</t>
  </si>
  <si>
    <t>CLARIBEL ZABALA LA PAIX</t>
  </si>
  <si>
    <t>MARIA ISABEL DE JESUS CRUZ DE REYES</t>
  </si>
  <si>
    <t>ANALISTA DE EQUIDAD DE GENERO</t>
  </si>
  <si>
    <t>JOHANNY MERCEDES CUEVAS RAMOS</t>
  </si>
  <si>
    <t>01/10/2025 -30/04/2026</t>
  </si>
  <si>
    <t>MIGUEL ESTALKIN SOTO FELIZ</t>
  </si>
  <si>
    <t>TECNICO DE ADMISION E INFORMACION</t>
  </si>
  <si>
    <t>01/12/2025 -30/04/2026</t>
  </si>
  <si>
    <t>5,615.32</t>
  </si>
  <si>
    <t>EMILIO ANTONIO SEGURA PEÑA</t>
  </si>
  <si>
    <t>ANALISTA DE COMPRAS Y CONTRATACIONES</t>
  </si>
  <si>
    <t>01/12/2025 -31/05/2026</t>
  </si>
  <si>
    <t>ROGELIA RUBIO CUEVAS</t>
  </si>
  <si>
    <t>ASISTENTE DE LA SUBDIRECCION</t>
  </si>
  <si>
    <t>01/01/2026 - 31/06/2026</t>
  </si>
  <si>
    <t>DEPARTAMENTO FORMACION DOCENTE</t>
  </si>
  <si>
    <t>01/02/2026 - 31/08/2026</t>
  </si>
  <si>
    <t>01/03/2026 -30/09/2026</t>
  </si>
  <si>
    <t>01/01/2026 -30/06/2026</t>
  </si>
  <si>
    <t>01/01/2026 - 30/06/2026</t>
  </si>
  <si>
    <t>01/11/2026 - 30/05/2026</t>
  </si>
  <si>
    <t>01/01/2026- 31/06/2026</t>
  </si>
  <si>
    <t xml:space="preserve"> </t>
  </si>
  <si>
    <t>DAHIANA MERCEDES BARRIENTOS DEL VILLAR</t>
  </si>
  <si>
    <t>ENCARGADO DEL DPTO. JURIDICO</t>
  </si>
  <si>
    <t>01/04/2026-31/10/2026</t>
  </si>
  <si>
    <t>REYNADO COLUMNA SOLANO</t>
  </si>
  <si>
    <t>01/04/2026 -31/10/2026</t>
  </si>
  <si>
    <t>30</t>
  </si>
  <si>
    <t>Cuenta: 2.1.2.2.0.5</t>
  </si>
  <si>
    <t>Direccion General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</si>
  <si>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</si>
  <si>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</si>
  <si>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</si>
  <si>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</si>
  <si>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</si>
  <si>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</si>
  <si>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</si>
  <si>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</si>
  <si>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WANYI SANCHEZ NUÑEZ</t>
  </si>
  <si>
    <t>SEGURIDAD</t>
  </si>
  <si>
    <t>0.00</t>
  </si>
  <si>
    <t xml:space="preserve">                                            SRA. IVIS N. MONTERO MATOS</t>
  </si>
  <si>
    <t xml:space="preserve">                         CONTADORA</t>
  </si>
  <si>
    <t>Capitulo: 0221</t>
  </si>
  <si>
    <t>Cuenta: 2.1.1.1.0.1</t>
  </si>
  <si>
    <t>Dirección General</t>
  </si>
  <si>
    <t>ROSA LINDA PEREZ MEDRANO</t>
  </si>
  <si>
    <t>SECRETARIA DIRECTOR GENERAL</t>
  </si>
  <si>
    <t>SERVIDOR PÚBLICO DE CARRERA</t>
  </si>
  <si>
    <t>GREGORIO DE JESUS MONTERO MONTERO</t>
  </si>
  <si>
    <t xml:space="preserve">FUNCIONARIO DE LIBRE NOMBRAMIENTO Y REMOCIÓN </t>
  </si>
  <si>
    <t>ROSA CAMILA RIVERA ACOSTA</t>
  </si>
  <si>
    <t>SUB DIRECTORA</t>
  </si>
  <si>
    <t>ANGEL EDUARDO FAMILIA JIMENEZ</t>
  </si>
  <si>
    <t>SUB-DIRECTOR</t>
  </si>
  <si>
    <t>FRANCISCO ANIBAL GONZALEZ</t>
  </si>
  <si>
    <t>ASESOR (A)</t>
  </si>
  <si>
    <t>SERVIDOR PUBLICO NOMBRADO</t>
  </si>
  <si>
    <t>SONIA ESTHER LOPEZ PEREZ</t>
  </si>
  <si>
    <t>LESLIE SIRAHIDEE UREÑA MELLA</t>
  </si>
  <si>
    <t>SERVIDOR PÚBLICO NOMBRADO</t>
  </si>
  <si>
    <t>SARAH STEFFANY TORRES GOMEZ</t>
  </si>
  <si>
    <t>SANDY NICOLAS LUCIANO MATOS</t>
  </si>
  <si>
    <t>CHOFER DEL DIRECTOR</t>
  </si>
  <si>
    <t>DANESCA MARRERO MARCANO</t>
  </si>
  <si>
    <t>ASISTENTE DEL DIRECTOR</t>
  </si>
  <si>
    <t>ERICKA LORENZO DE LA ROSA</t>
  </si>
  <si>
    <t>CONSERJE</t>
  </si>
  <si>
    <t>Sección de Libre Acceso a la Información</t>
  </si>
  <si>
    <t>DRIADES NAYADE FERRERAS GOMEZ</t>
  </si>
  <si>
    <t>ENC. SECCION LIBRE ACCESO A LA INFORMACION  RAI</t>
  </si>
  <si>
    <t>Departamento de Comunicaciones</t>
  </si>
  <si>
    <t>MIGUEL ANGEL BONIFACIO PEÑA</t>
  </si>
  <si>
    <t>REALIZADOR AUDIOVISUAL</t>
  </si>
  <si>
    <t>JACQUELINE ALTAGRACIA RAMOS CONCEPCION</t>
  </si>
  <si>
    <t>ASESORA</t>
  </si>
  <si>
    <t>GIANNA  DE JESUS ORTIZ ZACARIAS</t>
  </si>
  <si>
    <t>ARLET NATIVIDAD REYES ROJAS</t>
  </si>
  <si>
    <t>GESTOR DE REDES SOCIALES</t>
  </si>
  <si>
    <t>SADAM SEBASTIAN SURIEL DELORBE</t>
  </si>
  <si>
    <t>TECNICO EN COMUNICACIÓN</t>
  </si>
  <si>
    <t xml:space="preserve">Departamento Jurídico </t>
  </si>
  <si>
    <t>MANUEL ANTONIO BAUTISTA MEJIA</t>
  </si>
  <si>
    <t>YASAIRA ENCARNACION LARA</t>
  </si>
  <si>
    <t>AUXILIAR ADMINISTRATIVO I</t>
  </si>
  <si>
    <t>Departamento de Recursos Humanos</t>
  </si>
  <si>
    <t>CLARIVEL CASTRO</t>
  </si>
  <si>
    <t>ENC. DPTO. DE RECURSOS HUMANO</t>
  </si>
  <si>
    <t>MARIA ESTELA CLEMENTE GIL</t>
  </si>
  <si>
    <t>ENC, DPTO. DE RECURSOS HUMANOS</t>
  </si>
  <si>
    <t>SERVIDOR PUBLICO DE CARRERA</t>
  </si>
  <si>
    <t>DEBRA STEPHANIE HERNANDEZ MORALES</t>
  </si>
  <si>
    <t>SONIA CASTILLO GERALDO</t>
  </si>
  <si>
    <t>JOSE AMAURIS NOBLE JIMENEZ</t>
  </si>
  <si>
    <t>RUT SOLANGE GUZMAN ADAMES</t>
  </si>
  <si>
    <t>DAURY CASANOVA MONTERO</t>
  </si>
  <si>
    <t>SECRETARIA</t>
  </si>
  <si>
    <t>Departamento de Planificación y Desarrollo</t>
  </si>
  <si>
    <t>División Contabilidad</t>
  </si>
  <si>
    <t>MARIA TERESA LEON PAULINO DE RODRIGUEZ</t>
  </si>
  <si>
    <t>BERONICA BONILLA</t>
  </si>
  <si>
    <t>AUXILIAR ADMINISTRATIVO (A)</t>
  </si>
  <si>
    <t>División de Desarrollo Institucional y Calidad de la Gestión</t>
  </si>
  <si>
    <t>CRONNY MABEL PEREZ  PEREZ</t>
  </si>
  <si>
    <t>ENC. INTERINA DEPTO. DE DESARROLLO INSTITUCIONAL Y CALIDAD</t>
  </si>
  <si>
    <t>Departamento de Tecnologías de la Información y Comunicación</t>
  </si>
  <si>
    <t>NARCISO JIMENEZ DE LOS SANTOS</t>
  </si>
  <si>
    <t>AUXILIAR COORDINANCION VIRTUAL</t>
  </si>
  <si>
    <t>ANGEL WANDER MOREZUX FULCAR</t>
  </si>
  <si>
    <t>ADMINISTRADOR DE RED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</si>
  <si>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</si>
  <si>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</si>
  <si>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</si>
  <si>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</si>
  <si>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</si>
  <si>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</si>
  <si>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FABIAN ESTABAN MATOS ENCARNACION</t>
  </si>
  <si>
    <t>AUXILIAR ADMINISTRATIVO</t>
  </si>
  <si>
    <t>Departamento Administrativo Financiero</t>
  </si>
  <si>
    <t>CATALINA FELIZ TERRERO</t>
  </si>
  <si>
    <t>ENC. ADMINISTRATIVO Y FINANCIERO</t>
  </si>
  <si>
    <t>LLUMERQUI ANTONIO LEDESMA DIAZ</t>
  </si>
  <si>
    <t>ANALISTA FINANCIERO</t>
  </si>
  <si>
    <t>Sección de Presupuesto</t>
  </si>
  <si>
    <t>JUANA MARIA RODRIGUEZ GARCIA</t>
  </si>
  <si>
    <t>División de Contabilidad</t>
  </si>
  <si>
    <t>KATHIA VELEZ RAMIREZ</t>
  </si>
  <si>
    <t xml:space="preserve">ANALISTA DE COMPRAS Y CONTRATACIONES   </t>
  </si>
  <si>
    <t>IVIS NEWILL MONTERO MATOS</t>
  </si>
  <si>
    <t>CONTADORA</t>
  </si>
  <si>
    <t>ALBA IRIS PEÑA MARRERO</t>
  </si>
  <si>
    <t>División Administrativa</t>
  </si>
  <si>
    <t>EMILIANO DEL ROSARIO GENAO</t>
  </si>
  <si>
    <t>CONTADOR</t>
  </si>
  <si>
    <t>44</t>
  </si>
  <si>
    <t>VICTOR ALFONSO MORILLO GONZALEZ</t>
  </si>
  <si>
    <t>DEURI LARA SUAREZ</t>
  </si>
  <si>
    <t>CHOFER</t>
  </si>
  <si>
    <t>ALEXANDRA ACOSTA</t>
  </si>
  <si>
    <t>DANIS RAMIREZ MONTERO</t>
  </si>
  <si>
    <t>MARIA ALEJANDRINA MELENDEZ GERALDO</t>
  </si>
  <si>
    <t xml:space="preserve">AUXILIAR ADMINISTRATIVO         </t>
  </si>
  <si>
    <t>NICOLLE FRANSHESCA CANARIO SANTOS</t>
  </si>
  <si>
    <t>RECEPCIONISTA</t>
  </si>
  <si>
    <t>JORDANY ROSARIO MARTINEZ</t>
  </si>
  <si>
    <t>Sección de Compras y Contrataciones</t>
  </si>
  <si>
    <t>KEICI ORTIZ BATISTA</t>
  </si>
  <si>
    <t>ENC. SECCION DE COMPRAS Y CONTRATACIONES</t>
  </si>
  <si>
    <t>Sección de Servicios Generales</t>
  </si>
  <si>
    <t>ANTONIO VENTURA</t>
  </si>
  <si>
    <t>ANA HILDA RAMIREZ MELLA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</si>
  <si>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</si>
  <si>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</si>
  <si>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</si>
  <si>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</si>
  <si>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</si>
  <si>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</si>
  <si>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</si>
  <si>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</si>
  <si>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</si>
  <si>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</si>
  <si>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</si>
  <si>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</si>
  <si>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</si>
  <si>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</si>
  <si>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</si>
  <si>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MILCO JUNIOR PILARTE RODRÍGUEZ</t>
  </si>
  <si>
    <t>MENSAJERO EXTERNO</t>
  </si>
  <si>
    <t>BRYAN ANEURYS CABRERA RODRÍGUEZ</t>
  </si>
  <si>
    <t xml:space="preserve">CHOFER         </t>
  </si>
  <si>
    <t>RANDY ANTHONY MARTINEZ LEYBA</t>
  </si>
  <si>
    <t>CAROLINA VARGAS VASQUEZ</t>
  </si>
  <si>
    <t>EDWARD MARTINEZ POZO</t>
  </si>
  <si>
    <t>KELVIN REVI ALMANZAR</t>
  </si>
  <si>
    <t>PABLO ANTONIO DIAZ GARCIA</t>
  </si>
  <si>
    <t>Sección de Almacén</t>
  </si>
  <si>
    <t>JERSON RIVERA FIGUEREO</t>
  </si>
  <si>
    <t xml:space="preserve">Departamento de Formación Docente </t>
  </si>
  <si>
    <t>WILKANIA YASSIEL PEÑA ROJAS</t>
  </si>
  <si>
    <t>ROSA MARIA BONILLA MONTERO</t>
  </si>
  <si>
    <t>RIXI ALONDRA MELO AQUINO</t>
  </si>
  <si>
    <t>AUXILIAR ACADEMICO</t>
  </si>
  <si>
    <t>Sub-Capitulo: 01</t>
  </si>
  <si>
    <t>UE:
0002</t>
  </si>
  <si>
    <t>Sub-Programa 
02</t>
  </si>
  <si>
    <t>Proyecto 
0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</si>
  <si>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</si>
  <si>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</si>
  <si>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</si>
  <si>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</si>
  <si>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</si>
  <si>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NANCY MIGUELINA DRULLARD FELIZ</t>
  </si>
  <si>
    <t>HILDA ARASELIS CASTRO HUGGINS</t>
  </si>
  <si>
    <t>ANALISTA DE ACREDITACION Y CERTIFICACION</t>
  </si>
  <si>
    <t>HEIDI CAROLINA DE LA CRUZ</t>
  </si>
  <si>
    <t>IAN CRISTIAN SOTO FELIX</t>
  </si>
  <si>
    <t xml:space="preserve">TECNICO ADMINISTRATIVO </t>
  </si>
  <si>
    <t>Departamento Técnico Académico</t>
  </si>
  <si>
    <t>DEILIN RICARDO MATOS CARRASCO</t>
  </si>
  <si>
    <t>ALBERT MANUEL FIGUEREO RINCON</t>
  </si>
  <si>
    <t>LEA PAULINO MORALES</t>
  </si>
  <si>
    <t>JULANY VALENTINA CUESTA GUZMAN</t>
  </si>
  <si>
    <t>ENC. DEPARTAMENTO TECNICO ACADEMICO</t>
  </si>
  <si>
    <t>MIGUELINA CORPORAN RODRIGUEZ</t>
  </si>
  <si>
    <t>División de Desarrollo Curricular y Docente</t>
  </si>
  <si>
    <t>LUZ MARIA BATISTA GALVAN</t>
  </si>
  <si>
    <t>COORDINADORA CAPAC. Y DESARROLLO</t>
  </si>
  <si>
    <t>BERTHA LIDIA ESPINOSA PEREZ</t>
  </si>
  <si>
    <t>ENC. DIVISION DE GESTION DE ADMISION ACADEMICA</t>
  </si>
  <si>
    <t>ANA PATRICIA CASTRO MENDOZA</t>
  </si>
  <si>
    <t>Departamento de Extensiones</t>
  </si>
  <si>
    <t>88</t>
  </si>
  <si>
    <r>
      <t xml:space="preserve">KIRSY ALANA MEJIA UBIERA </t>
    </r>
    <r>
      <rPr>
        <i/>
        <sz val="12"/>
        <color rgb="FF000000"/>
        <rFont val="Times New Roman"/>
        <family val="1"/>
      </rPr>
      <t>(San Pedro de Macorís)</t>
    </r>
  </si>
  <si>
    <t>89</t>
  </si>
  <si>
    <r>
      <t>MARIO RODRIGUEZ MONTERO</t>
    </r>
    <r>
      <rPr>
        <i/>
        <sz val="12"/>
        <color rgb="FF000000"/>
        <rFont val="Times New Roman"/>
        <family val="1"/>
      </rPr>
      <t xml:space="preserve"> (San Juan de la Maguana)</t>
    </r>
  </si>
  <si>
    <t>90</t>
  </si>
  <si>
    <t>EURIDICE WALKIRIA DIAZ LIRANZO</t>
  </si>
  <si>
    <t>SECRETARIA I</t>
  </si>
  <si>
    <t>91</t>
  </si>
  <si>
    <r>
      <t xml:space="preserve">BELLANIRIS SANTOS REYES </t>
    </r>
    <r>
      <rPr>
        <i/>
        <sz val="12"/>
        <color rgb="FF000000"/>
        <rFont val="Times New Roman"/>
        <family val="1"/>
      </rPr>
      <t>(La Vega)</t>
    </r>
  </si>
  <si>
    <t>92</t>
  </si>
  <si>
    <r>
      <t xml:space="preserve">YORCITO MATOS SANTOS </t>
    </r>
    <r>
      <rPr>
        <i/>
        <sz val="12"/>
        <color rgb="FF000000"/>
        <rFont val="Times New Roman"/>
        <family val="1"/>
      </rPr>
      <t>(Baní)</t>
    </r>
  </si>
  <si>
    <t>93</t>
  </si>
  <si>
    <t>CARLOS MANUEL SANTOS</t>
  </si>
  <si>
    <t>ENC. DIVISION DE EXTENCIONES</t>
  </si>
  <si>
    <t>94</t>
  </si>
  <si>
    <r>
      <t xml:space="preserve">RAMON FERNANDO TAVAREZ REYNOSO </t>
    </r>
    <r>
      <rPr>
        <i/>
        <sz val="12"/>
        <color rgb="FF000000"/>
        <rFont val="Times New Roman"/>
        <family val="1"/>
      </rPr>
      <t>(Santiago de los Caballeros)</t>
    </r>
  </si>
  <si>
    <t xml:space="preserve">AUXILIAR ADMINISTRATIVO </t>
  </si>
  <si>
    <t>95</t>
  </si>
  <si>
    <t>PAMELA ARACHE</t>
  </si>
  <si>
    <t>96</t>
  </si>
  <si>
    <t>BIENVENIDO ROSARIO CEBALLOS (Santiago de los Caballeros)</t>
  </si>
  <si>
    <t>97</t>
  </si>
  <si>
    <t>FATIMA DEL ROSARIO MESA BATISTA</t>
  </si>
  <si>
    <t>98</t>
  </si>
  <si>
    <t>ELSA YSABEL PIMENTEL DEL VILLAR</t>
  </si>
  <si>
    <t>División de  Coordinación de Eventos Formativos</t>
  </si>
  <si>
    <t>NICOLAS SALAS GRAJALES</t>
  </si>
  <si>
    <t>SANTA TERESA LOPEZ FELIZ</t>
  </si>
  <si>
    <t>ELIEZER RAMIREZ MEDINA</t>
  </si>
  <si>
    <t>JACKIRI ALEXANDRA CARRION RAMOS</t>
  </si>
  <si>
    <t>NARDIN GERALDO HEREDIA</t>
  </si>
  <si>
    <t>COORDINADOR (A)</t>
  </si>
  <si>
    <t>MARIA ISABEL JIMENEZ CASTRO</t>
  </si>
  <si>
    <t>OFICIAL ACADEMICO</t>
  </si>
  <si>
    <t>SUSANA DURAN SANCHEZ</t>
  </si>
  <si>
    <t>División de Admisión e Información</t>
  </si>
  <si>
    <t>ISAAC ESPINOSA GUZMAN</t>
  </si>
  <si>
    <t>JENCY IVERSON CARABALLO GUZMAN</t>
  </si>
  <si>
    <t>ENC. INTERINO DIVISION DE ADMISION E INFORMACION</t>
  </si>
  <si>
    <t>División de Coordinación de Profesionalización</t>
  </si>
  <si>
    <t>ELIZABETH ANJINETH TRONCOSO FIGUEROA</t>
  </si>
  <si>
    <t>ENC. INTERINO DIVISION DE COORDINACION Y PROFESIONALIZACION</t>
  </si>
  <si>
    <t>MIRIAM CAMBERO MARTE</t>
  </si>
  <si>
    <t>ENC. DIVISION ADMISION Y REGISTRO ACADEMICO</t>
  </si>
  <si>
    <t>Sub total</t>
  </si>
  <si>
    <t>Total General</t>
  </si>
  <si>
    <t xml:space="preserve">                                                    SRA. IVIS N. MONTERO MATOS</t>
  </si>
  <si>
    <t xml:space="preserve">                                   CONTADORA</t>
  </si>
  <si>
    <t>INSTITUTO NACIONAL DE ADMINISTRACIÓN PÚBLICA 
(INAP)
NÓMINA DE PERSONAL FIJO CORRESPONDIENTES AL MES DE  MAYO 2026</t>
  </si>
  <si>
    <t>INSTITUTO NACIONAL DE ADMINISTRACIÓN PÚBLICA 
(INAP)
NÓMINA DE PERSONAL CONTRATADO CON CARÁCTER TEMPORAL, CORRESPONDIENTES AL MES DE MAYO 2026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</si>
  <si>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MAYO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</si>
</sst>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 "/>
    </font>
    <font>
      <b/>
      <sz val="14"/>
      <color theme="1"/>
      <name val="Segoe UI "/>
    </font>
    <font>
      <b/>
      <sz val="11"/>
      <color theme="1"/>
      <name val="Calibri"/>
      <family val="2"/>
      <scheme val="minor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2"/>
      <name val="Segoe UI "/>
    </font>
    <font>
      <b/>
      <sz val="20"/>
      <name val="Segoe UI "/>
    </font>
    <font>
      <b/>
      <sz val="14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  <font>
      <b/>
      <sz val="16"/>
      <color theme="1"/>
      <name val="Segoe UI"/>
      <family val="2"/>
    </font>
    <font>
      <b/>
      <sz val="20"/>
      <color theme="1"/>
      <name val="Segoe UI"/>
      <family val="2"/>
    </font>
    <font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Segoe UI"/>
      <family val="2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6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8" fillId="0" borderId="0" xfId="1" applyFont="1" applyFill="1" applyBorder="1" applyAlignment="1">
      <alignment horizontal="center" vertical="center" wrapText="1"/>
    </xf>
    <xf numFmtId="43" fontId="9" fillId="0" borderId="14" xfId="1" applyFont="1" applyFill="1" applyBorder="1" applyAlignment="1">
      <alignment horizontal="right" vertical="center" wrapText="1"/>
    </xf>
    <xf numFmtId="43" fontId="13" fillId="0" borderId="0" xfId="1" applyFont="1" applyFill="1" applyAlignment="1">
      <alignment horizontal="center" vertical="center" wrapText="1"/>
    </xf>
    <xf numFmtId="43" fontId="13" fillId="0" borderId="0" xfId="1" applyFont="1" applyFill="1" applyAlignment="1">
      <alignment horizontal="right" vertical="center" wrapText="1"/>
    </xf>
    <xf numFmtId="43" fontId="13" fillId="0" borderId="0" xfId="1" applyFont="1" applyFill="1" applyBorder="1" applyAlignment="1">
      <alignment horizontal="right" vertical="center" wrapText="1"/>
    </xf>
    <xf numFmtId="43" fontId="13" fillId="0" borderId="0" xfId="1" applyFont="1" applyFill="1" applyAlignment="1">
      <alignment horizontal="left" vertical="center"/>
    </xf>
    <xf numFmtId="43" fontId="13" fillId="0" borderId="0" xfId="1" applyFont="1" applyFill="1" applyAlignment="1">
      <alignment horizontal="center" vertical="center"/>
    </xf>
    <xf numFmtId="43" fontId="13" fillId="0" borderId="17" xfId="1" applyFont="1" applyFill="1" applyBorder="1" applyAlignment="1">
      <alignment horizontal="right" vertical="center" wrapText="1"/>
    </xf>
    <xf numFmtId="43" fontId="16" fillId="0" borderId="0" xfId="1" applyFont="1" applyFill="1" applyBorder="1" applyAlignment="1">
      <alignment horizontal="right" vertical="center" wrapText="1"/>
    </xf>
    <xf numFmtId="43" fontId="16" fillId="0" borderId="0" xfId="1" applyFont="1" applyFill="1" applyBorder="1" applyAlignment="1">
      <alignment horizontal="right" vertical="center"/>
    </xf>
    <xf numFmtId="43" fontId="13" fillId="0" borderId="14" xfId="1" applyFont="1" applyFill="1" applyBorder="1" applyAlignment="1">
      <alignment horizontal="right" vertical="center" wrapText="1"/>
    </xf>
    <xf numFmtId="43" fontId="0" fillId="0" borderId="16" xfId="1" applyFont="1" applyFill="1" applyBorder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  <xf numFmtId="43" fontId="1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0" fillId="0" borderId="0" xfId="1" applyFont="1" applyFill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9" fontId="13" fillId="0" borderId="0" xfId="1" applyNumberFormat="1" applyFont="1" applyFill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43" fontId="13" fillId="0" borderId="27" xfId="1" applyFont="1" applyFill="1" applyBorder="1" applyAlignment="1">
      <alignment horizontal="center" vertical="center" wrapText="1"/>
    </xf>
    <xf numFmtId="43" fontId="13" fillId="0" borderId="26" xfId="1" applyFont="1" applyFill="1" applyBorder="1" applyAlignment="1">
      <alignment horizontal="right" vertical="center" wrapText="1"/>
    </xf>
    <xf numFmtId="43" fontId="9" fillId="0" borderId="25" xfId="1" applyFont="1" applyFill="1" applyBorder="1" applyAlignment="1">
      <alignment horizontal="right" vertical="center" wrapText="1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left" vertical="center"/>
    </xf>
    <xf numFmtId="13" fontId="9" fillId="0" borderId="0" xfId="1" applyNumberFormat="1" applyFont="1" applyFill="1" applyAlignment="1">
      <alignment horizontal="center" vertical="center"/>
    </xf>
    <xf numFmtId="49" fontId="9" fillId="0" borderId="0" xfId="1" applyNumberFormat="1" applyFont="1" applyFill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" fontId="13" fillId="0" borderId="1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4" fontId="13" fillId="0" borderId="29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9" fillId="0" borderId="16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14" fontId="16" fillId="0" borderId="0" xfId="0" applyNumberFormat="1" applyFont="1" applyAlignment="1">
      <alignment horizontal="center"/>
    </xf>
    <xf numFmtId="4" fontId="16" fillId="0" borderId="1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right" vertical="center"/>
    </xf>
    <xf numFmtId="4" fontId="17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3" fontId="23" fillId="0" borderId="0" xfId="1" applyFont="1" applyFill="1" applyBorder="1" applyAlignment="1">
      <alignment horizontal="right" vertical="center" wrapText="1"/>
    </xf>
    <xf numFmtId="2" fontId="23" fillId="0" borderId="0" xfId="1" applyNumberFormat="1" applyFont="1" applyFill="1" applyBorder="1" applyAlignment="1">
      <alignment horizontal="right" vertical="center" wrapText="1"/>
    </xf>
    <xf numFmtId="43" fontId="23" fillId="0" borderId="25" xfId="1" applyFont="1" applyFill="1" applyBorder="1" applyAlignment="1">
      <alignment horizontal="right" vertical="center" wrapText="1"/>
    </xf>
    <xf numFmtId="0" fontId="24" fillId="0" borderId="0" xfId="0" applyFont="1"/>
    <xf numFmtId="0" fontId="25" fillId="0" borderId="24" xfId="0" applyFont="1" applyBorder="1" applyAlignment="1">
      <alignment horizontal="center" vertical="center" wrapText="1"/>
    </xf>
    <xf numFmtId="43" fontId="25" fillId="0" borderId="35" xfId="1" applyFont="1" applyFill="1" applyBorder="1" applyAlignment="1">
      <alignment horizontal="right" vertical="center" wrapText="1"/>
    </xf>
    <xf numFmtId="2" fontId="25" fillId="0" borderId="35" xfId="1" applyNumberFormat="1" applyFont="1" applyFill="1" applyBorder="1" applyAlignment="1">
      <alignment horizontal="right" vertical="center" wrapText="1"/>
    </xf>
    <xf numFmtId="49" fontId="25" fillId="0" borderId="35" xfId="1" applyNumberFormat="1" applyFont="1" applyFill="1" applyBorder="1" applyAlignment="1">
      <alignment horizontal="right" vertical="center" wrapText="1"/>
    </xf>
    <xf numFmtId="43" fontId="25" fillId="0" borderId="35" xfId="1" applyFont="1" applyFill="1" applyBorder="1" applyAlignment="1">
      <alignment vertical="center" wrapText="1"/>
    </xf>
    <xf numFmtId="43" fontId="25" fillId="0" borderId="36" xfId="1" applyFont="1" applyFill="1" applyBorder="1" applyAlignment="1">
      <alignment horizontal="right" vertical="center" wrapText="1"/>
    </xf>
    <xf numFmtId="0" fontId="25" fillId="0" borderId="27" xfId="0" applyFont="1" applyBorder="1" applyAlignment="1">
      <alignment horizontal="center" vertical="center" wrapText="1"/>
    </xf>
    <xf numFmtId="0" fontId="23" fillId="0" borderId="14" xfId="0" applyFont="1" applyBorder="1" applyAlignment="1">
      <alignment wrapText="1"/>
    </xf>
    <xf numFmtId="0" fontId="23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43" fontId="25" fillId="0" borderId="0" xfId="1" applyFont="1" applyFill="1" applyBorder="1" applyAlignment="1">
      <alignment horizontal="right" vertical="center" wrapText="1"/>
    </xf>
    <xf numFmtId="2" fontId="25" fillId="0" borderId="0" xfId="1" applyNumberFormat="1" applyFont="1" applyFill="1" applyBorder="1" applyAlignment="1">
      <alignment horizontal="right" vertical="center" wrapText="1"/>
    </xf>
    <xf numFmtId="43" fontId="25" fillId="0" borderId="0" xfId="1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3" fontId="29" fillId="0" borderId="0" xfId="1" applyFont="1" applyFill="1" applyBorder="1" applyAlignment="1">
      <alignment vertical="center" wrapText="1"/>
    </xf>
    <xf numFmtId="43" fontId="31" fillId="0" borderId="0" xfId="1" applyFont="1" applyFill="1" applyBorder="1" applyAlignment="1">
      <alignment horizontal="center" vertical="center" wrapText="1"/>
    </xf>
    <xf numFmtId="43" fontId="31" fillId="0" borderId="0" xfId="1" applyFont="1" applyFill="1" applyBorder="1" applyAlignment="1">
      <alignment vertical="center" wrapText="1"/>
    </xf>
    <xf numFmtId="4" fontId="31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" fontId="34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43" fontId="29" fillId="0" borderId="0" xfId="1" applyFont="1" applyFill="1" applyAlignment="1">
      <alignment horizontal="right" vertical="center"/>
    </xf>
    <xf numFmtId="4" fontId="30" fillId="0" borderId="0" xfId="0" applyNumberFormat="1" applyFont="1" applyAlignment="1">
      <alignment vertical="center"/>
    </xf>
    <xf numFmtId="43" fontId="31" fillId="0" borderId="0" xfId="1" applyFont="1" applyFill="1" applyBorder="1" applyAlignment="1">
      <alignment horizontal="center" vertical="center"/>
    </xf>
    <xf numFmtId="43" fontId="31" fillId="0" borderId="0" xfId="1" applyFont="1" applyFill="1" applyBorder="1" applyAlignment="1">
      <alignment horizontal="left" vertical="center" wrapText="1"/>
    </xf>
    <xf numFmtId="43" fontId="29" fillId="0" borderId="0" xfId="1" applyFont="1" applyFill="1" applyBorder="1" applyAlignment="1">
      <alignment horizontal="right" vertical="center" wrapText="1"/>
    </xf>
    <xf numFmtId="43" fontId="29" fillId="0" borderId="0" xfId="1" applyFont="1" applyFill="1" applyBorder="1" applyAlignment="1">
      <alignment horizontal="left" vertical="center" wrapText="1"/>
    </xf>
    <xf numFmtId="43" fontId="29" fillId="0" borderId="0" xfId="1" applyFont="1" applyFill="1" applyBorder="1" applyAlignment="1">
      <alignment horizontal="center" vertical="center" wrapText="1"/>
    </xf>
    <xf numFmtId="43" fontId="31" fillId="0" borderId="0" xfId="1" applyFont="1" applyFill="1" applyBorder="1" applyAlignment="1">
      <alignment horizontal="right" vertical="center" wrapText="1"/>
    </xf>
    <xf numFmtId="43" fontId="28" fillId="0" borderId="0" xfId="1" applyFont="1" applyFill="1" applyBorder="1" applyAlignment="1">
      <alignment horizontal="right" vertical="center" wrapText="1"/>
    </xf>
    <xf numFmtId="43" fontId="35" fillId="0" borderId="0" xfId="1" applyFont="1" applyFill="1" applyBorder="1" applyAlignment="1">
      <alignment horizontal="right" vertical="center" wrapText="1"/>
    </xf>
    <xf numFmtId="43" fontId="35" fillId="0" borderId="0" xfId="1" applyFont="1" applyFill="1" applyBorder="1" applyAlignment="1">
      <alignment horizontal="right" vertical="center"/>
    </xf>
    <xf numFmtId="4" fontId="31" fillId="0" borderId="0" xfId="0" applyNumberFormat="1" applyFont="1" applyAlignment="1">
      <alignment vertical="center"/>
    </xf>
    <xf numFmtId="43" fontId="29" fillId="0" borderId="0" xfId="1" applyFont="1" applyFill="1" applyAlignment="1">
      <alignment vertical="center"/>
    </xf>
    <xf numFmtId="43" fontId="28" fillId="0" borderId="0" xfId="1" applyFont="1" applyFill="1" applyAlignment="1">
      <alignment vertical="center"/>
    </xf>
    <xf numFmtId="43" fontId="28" fillId="0" borderId="0" xfId="1" applyFont="1" applyFill="1" applyAlignment="1">
      <alignment horizontal="right" vertical="center"/>
    </xf>
    <xf numFmtId="49" fontId="29" fillId="0" borderId="0" xfId="0" applyNumberFormat="1" applyFont="1" applyAlignment="1">
      <alignment horizontal="center" vertical="center" wrapText="1"/>
    </xf>
    <xf numFmtId="2" fontId="29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vertical="center"/>
    </xf>
    <xf numFmtId="43" fontId="30" fillId="0" borderId="0" xfId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43" fontId="31" fillId="0" borderId="0" xfId="1" applyFont="1" applyFill="1" applyBorder="1" applyAlignment="1">
      <alignment horizontal="right" vertical="center"/>
    </xf>
    <xf numFmtId="0" fontId="28" fillId="0" borderId="0" xfId="0" applyFont="1" applyAlignment="1">
      <alignment wrapText="1"/>
    </xf>
    <xf numFmtId="43" fontId="31" fillId="0" borderId="0" xfId="1" applyFont="1" applyFill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4" fontId="36" fillId="0" borderId="0" xfId="0" applyNumberFormat="1" applyFont="1" applyAlignment="1">
      <alignment horizontal="right" vertical="center"/>
    </xf>
    <xf numFmtId="43" fontId="36" fillId="0" borderId="0" xfId="1" applyFont="1" applyFill="1" applyAlignment="1">
      <alignment horizontal="right" vertical="center"/>
    </xf>
    <xf numFmtId="44" fontId="26" fillId="0" borderId="20" xfId="0" applyNumberFormat="1" applyFont="1" applyBorder="1" applyAlignment="1">
      <alignment horizontal="center" vertical="center"/>
    </xf>
    <xf numFmtId="44" fontId="26" fillId="0" borderId="2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43" fontId="31" fillId="0" borderId="0" xfId="1" applyFont="1" applyFill="1" applyAlignment="1">
      <alignment vertical="center" wrapText="1"/>
    </xf>
    <xf numFmtId="4" fontId="31" fillId="0" borderId="14" xfId="0" applyNumberFormat="1" applyFont="1" applyBorder="1" applyAlignment="1">
      <alignment vertical="center"/>
    </xf>
    <xf numFmtId="43" fontId="31" fillId="0" borderId="14" xfId="1" applyFont="1" applyFill="1" applyBorder="1" applyAlignment="1">
      <alignment vertical="center" wrapText="1"/>
    </xf>
    <xf numFmtId="43" fontId="31" fillId="0" borderId="14" xfId="1" applyFont="1" applyFill="1" applyBorder="1" applyAlignment="1">
      <alignment horizontal="right" vertical="center" wrapText="1"/>
    </xf>
    <xf numFmtId="43" fontId="31" fillId="0" borderId="14" xfId="1" applyFont="1" applyFill="1" applyBorder="1" applyAlignment="1">
      <alignment horizontal="right" vertical="center"/>
    </xf>
    <xf numFmtId="4" fontId="31" fillId="0" borderId="15" xfId="0" applyNumberFormat="1" applyFont="1" applyBorder="1" applyAlignment="1">
      <alignment vertical="center"/>
    </xf>
    <xf numFmtId="43" fontId="31" fillId="0" borderId="15" xfId="1" applyFont="1" applyFill="1" applyBorder="1" applyAlignment="1">
      <alignment vertical="center" wrapText="1"/>
    </xf>
    <xf numFmtId="43" fontId="31" fillId="0" borderId="15" xfId="1" applyFont="1" applyFill="1" applyBorder="1" applyAlignment="1">
      <alignment horizontal="right" vertical="center" wrapText="1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/>
    <xf numFmtId="0" fontId="35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44" fontId="27" fillId="3" borderId="0" xfId="0" applyNumberFormat="1" applyFont="1" applyFill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3" borderId="37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163287</xdr:colOff>
      <xdr:row>4</xdr:row>
      <xdr:rowOff>13607</xdr:rowOff>
    </xdr:from>
    <xdr:to>
      <xdr:col>2</xdr:col>
      <xdr:colOff>1191652</xdr:colOff>
      <xdr:row>10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67531D-08FA-4028-8435-6DEC8713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2</xdr:col>
      <xdr:colOff>2136321</xdr:colOff>
      <xdr:row>203</xdr:row>
      <xdr:rowOff>13607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4827BE7-D693-4FCA-9F82-204EA914562C}"/>
            </a:ext>
          </a:extLst>
        </xdr:cNvPr>
        <xdr:cNvCxnSpPr/>
      </xdr:nvCxnSpPr>
      <xdr:spPr>
        <a:xfrm>
          <a:off x="0" y="82991325"/>
          <a:ext cx="35555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653142</xdr:colOff>
      <xdr:row>203</xdr:row>
      <xdr:rowOff>0</xdr:rowOff>
    </xdr:from>
    <xdr:to>
      <xdr:col>12</xdr:col>
      <xdr:colOff>1055915</xdr:colOff>
      <xdr:row>203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1D468E7-D259-43B9-B6CE-653D22508685}"/>
            </a:ext>
          </a:extLst>
        </xdr:cNvPr>
        <xdr:cNvCxnSpPr/>
      </xdr:nvCxnSpPr>
      <xdr:spPr>
        <a:xfrm>
          <a:off x="18560142" y="82991325"/>
          <a:ext cx="37365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540203</xdr:colOff>
      <xdr:row>203</xdr:row>
      <xdr:rowOff>0</xdr:rowOff>
    </xdr:from>
    <xdr:to>
      <xdr:col>6</xdr:col>
      <xdr:colOff>394607</xdr:colOff>
      <xdr:row>203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D08AF0D-4F66-4697-8DB2-C8F281B40F16}"/>
            </a:ext>
          </a:extLst>
        </xdr:cNvPr>
        <xdr:cNvCxnSpPr/>
      </xdr:nvCxnSpPr>
      <xdr:spPr>
        <a:xfrm>
          <a:off x="7588703" y="82991325"/>
          <a:ext cx="39215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97</xdr:row>
      <xdr:rowOff>1</xdr:rowOff>
    </xdr:from>
    <xdr:to>
      <xdr:col>6</xdr:col>
      <xdr:colOff>369868</xdr:colOff>
      <xdr:row>97</xdr:row>
      <xdr:rowOff>186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589ECE8-B850-4C0D-8D8F-18F90059B228}"/>
            </a:ext>
          </a:extLst>
        </xdr:cNvPr>
        <xdr:cNvCxnSpPr/>
      </xdr:nvCxnSpPr>
      <xdr:spPr>
        <a:xfrm flipV="1">
          <a:off x="9980252" y="26234572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97</xdr:row>
      <xdr:rowOff>0</xdr:rowOff>
    </xdr:from>
    <xdr:to>
      <xdr:col>1</xdr:col>
      <xdr:colOff>1428750</xdr:colOff>
      <xdr:row>97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C1948F6-4615-47B6-8895-8639DA9FABA9}"/>
            </a:ext>
          </a:extLst>
        </xdr:cNvPr>
        <xdr:cNvCxnSpPr/>
      </xdr:nvCxnSpPr>
      <xdr:spPr>
        <a:xfrm>
          <a:off x="0" y="27132643"/>
          <a:ext cx="2843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D9216E4-45D5-7EED-1252-9432846AF6E6}"/>
            </a:ext>
          </a:extLst>
        </xdr:cNvPr>
        <xdr:cNvSpPr>
          <a:spLocks noChangeAspect="1" noChangeArrowheads="1"/>
        </xdr:cNvSpPr>
      </xdr:nvSpPr>
      <xdr:spPr bwMode="auto">
        <a:xfrm>
          <a:off x="22583775" y="148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163287</xdr:colOff>
      <xdr:row>0</xdr:row>
      <xdr:rowOff>13607</xdr:rowOff>
    </xdr:from>
    <xdr:to>
      <xdr:col>1</xdr:col>
      <xdr:colOff>534427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39691B-77E9-33DF-6344-AAC4479A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86283" cy="1156607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97</xdr:row>
      <xdr:rowOff>0</xdr:rowOff>
    </xdr:from>
    <xdr:to>
      <xdr:col>12</xdr:col>
      <xdr:colOff>105117</xdr:colOff>
      <xdr:row>97</xdr:row>
      <xdr:rowOff>185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5CEBF81-1694-44D8-BA73-27F56529E712}"/>
            </a:ext>
          </a:extLst>
        </xdr:cNvPr>
        <xdr:cNvCxnSpPr/>
      </xdr:nvCxnSpPr>
      <xdr:spPr>
        <a:xfrm flipV="1">
          <a:off x="18247179" y="26234571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24</xdr:row>
      <xdr:rowOff>1</xdr:rowOff>
    </xdr:from>
    <xdr:to>
      <xdr:col>7</xdr:col>
      <xdr:colOff>369868</xdr:colOff>
      <xdr:row>24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CBE7256-3241-4E0B-A24D-C52F771794F7}"/>
            </a:ext>
          </a:extLst>
        </xdr:cNvPr>
        <xdr:cNvCxnSpPr/>
      </xdr:nvCxnSpPr>
      <xdr:spPr>
        <a:xfrm flipV="1">
          <a:off x="8824232" y="8343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24</xdr:row>
      <xdr:rowOff>0</xdr:rowOff>
    </xdr:from>
    <xdr:to>
      <xdr:col>2</xdr:col>
      <xdr:colOff>1932214</xdr:colOff>
      <xdr:row>24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C725C0-DE7B-4486-B7E9-809688E9BD54}"/>
            </a:ext>
          </a:extLst>
        </xdr:cNvPr>
        <xdr:cNvCxnSpPr/>
      </xdr:nvCxnSpPr>
      <xdr:spPr>
        <a:xfrm>
          <a:off x="40821" y="8343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24</xdr:row>
      <xdr:rowOff>0</xdr:rowOff>
    </xdr:from>
    <xdr:to>
      <xdr:col>13</xdr:col>
      <xdr:colOff>105117</xdr:colOff>
      <xdr:row>24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05ED3F2-2C1F-4D38-8947-9D1E9706CE5B}"/>
            </a:ext>
          </a:extLst>
        </xdr:cNvPr>
        <xdr:cNvCxnSpPr/>
      </xdr:nvCxnSpPr>
      <xdr:spPr>
        <a:xfrm flipV="1">
          <a:off x="16237404" y="8343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46264</xdr:colOff>
      <xdr:row>3</xdr:row>
      <xdr:rowOff>47624</xdr:rowOff>
    </xdr:from>
    <xdr:to>
      <xdr:col>2</xdr:col>
      <xdr:colOff>453867</xdr:colOff>
      <xdr:row>8</xdr:row>
      <xdr:rowOff>125601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498D5F-9C3D-496A-A469-45FB5CB5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264" y="619124"/>
          <a:ext cx="1169603" cy="1030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C457-EC53-4910-AAA3-FC8A145DDAFB}">
  <dimension ref="B4:N207"/>
  <sheetViews>
    <sheetView workbookViewId="0">
      <selection activeCell="B5" sqref="B5:N10"/>
    </sheetView>
  </sheetViews>
  <sheetFormatPr baseColWidth="10" defaultRowHeight="15"/>
  <cols>
    <col min="3" max="3" width="39.85546875" customWidth="1"/>
    <col min="4" max="4" width="37.28515625" customWidth="1"/>
    <col min="6" max="6" width="40.85546875" bestFit="1" customWidth="1"/>
    <col min="7" max="7" width="22.85546875" bestFit="1" customWidth="1"/>
    <col min="8" max="8" width="14.5703125" bestFit="1" customWidth="1"/>
    <col min="9" max="9" width="19.5703125" bestFit="1" customWidth="1"/>
    <col min="10" max="10" width="23.5703125" bestFit="1" customWidth="1"/>
    <col min="11" max="11" width="17" bestFit="1" customWidth="1"/>
    <col min="12" max="12" width="16.5703125" bestFit="1" customWidth="1"/>
    <col min="13" max="13" width="14.140625" bestFit="1" customWidth="1"/>
  </cols>
  <sheetData>
    <row r="4" spans="2:14" ht="15.75" thickBot="1"/>
    <row r="5" spans="2:14">
      <c r="B5" s="184" t="s">
        <v>359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6"/>
    </row>
    <row r="6" spans="2:14">
      <c r="B6" s="187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</row>
    <row r="7" spans="2:14">
      <c r="B7" s="187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9"/>
    </row>
    <row r="8" spans="2:14">
      <c r="B8" s="187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</row>
    <row r="9" spans="2:14">
      <c r="B9" s="187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</row>
    <row r="10" spans="2:14">
      <c r="B10" s="187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9"/>
    </row>
    <row r="11" spans="2:14" ht="20.25">
      <c r="B11" s="113" t="s">
        <v>143</v>
      </c>
      <c r="C11" s="114" t="s">
        <v>52</v>
      </c>
      <c r="D11" s="114" t="s">
        <v>40</v>
      </c>
      <c r="E11" s="113" t="s">
        <v>41</v>
      </c>
      <c r="F11" s="113" t="s">
        <v>42</v>
      </c>
      <c r="G11" s="113" t="s">
        <v>53</v>
      </c>
      <c r="H11" s="113" t="s">
        <v>43</v>
      </c>
      <c r="I11" s="113" t="s">
        <v>17</v>
      </c>
      <c r="J11" s="113" t="s">
        <v>144</v>
      </c>
      <c r="K11" s="113" t="s">
        <v>44</v>
      </c>
      <c r="L11" s="113"/>
      <c r="M11" s="113"/>
      <c r="N11" s="84"/>
    </row>
    <row r="12" spans="2:14" ht="25.5">
      <c r="B12" s="216" t="s">
        <v>145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84"/>
    </row>
    <row r="13" spans="2:14" ht="20.25">
      <c r="B13" s="113" t="s">
        <v>0</v>
      </c>
      <c r="C13" s="114" t="s">
        <v>1</v>
      </c>
      <c r="D13" s="114" t="s">
        <v>2</v>
      </c>
      <c r="E13" s="113" t="s">
        <v>35</v>
      </c>
      <c r="F13" s="113" t="s">
        <v>3</v>
      </c>
      <c r="G13" s="113" t="s">
        <v>54</v>
      </c>
      <c r="H13" s="113" t="s">
        <v>4</v>
      </c>
      <c r="I13" s="113" t="s">
        <v>6</v>
      </c>
      <c r="J13" s="113" t="s">
        <v>5</v>
      </c>
      <c r="K13" s="113" t="s">
        <v>57</v>
      </c>
      <c r="L13" s="113" t="s">
        <v>56</v>
      </c>
      <c r="M13" s="113" t="s">
        <v>55</v>
      </c>
      <c r="N13" s="84"/>
    </row>
    <row r="14" spans="2:14" ht="31.5">
      <c r="B14" s="115">
        <v>1</v>
      </c>
      <c r="C14" s="116" t="s">
        <v>146</v>
      </c>
      <c r="D14" s="116" t="s">
        <v>147</v>
      </c>
      <c r="E14" s="117" t="s">
        <v>37</v>
      </c>
      <c r="F14" s="117" t="s">
        <v>148</v>
      </c>
      <c r="G14" s="118">
        <v>70000</v>
      </c>
      <c r="H14" s="118">
        <v>2009</v>
      </c>
      <c r="I14" s="118">
        <v>5368.45</v>
      </c>
      <c r="J14" s="118">
        <v>2128</v>
      </c>
      <c r="K14" s="118">
        <v>125</v>
      </c>
      <c r="L14" s="118">
        <f t="shared" ref="L14:L24" si="0">H14+I14+J14+K14</f>
        <v>9630.4500000000007</v>
      </c>
      <c r="M14" s="118">
        <f t="shared" ref="M14:M24" si="1">G14-L14</f>
        <v>60369.55</v>
      </c>
      <c r="N14" s="84"/>
    </row>
    <row r="15" spans="2:14" ht="31.5">
      <c r="B15" s="115">
        <v>2</v>
      </c>
      <c r="C15" s="116" t="s">
        <v>149</v>
      </c>
      <c r="D15" s="116" t="s">
        <v>7</v>
      </c>
      <c r="E15" s="117" t="s">
        <v>36</v>
      </c>
      <c r="F15" s="117" t="s">
        <v>150</v>
      </c>
      <c r="G15" s="118">
        <v>245000</v>
      </c>
      <c r="H15" s="118">
        <v>7031.5</v>
      </c>
      <c r="I15" s="118">
        <v>45830.17</v>
      </c>
      <c r="J15" s="118">
        <v>7059.79</v>
      </c>
      <c r="K15" s="118">
        <v>1944.78</v>
      </c>
      <c r="L15" s="118">
        <f t="shared" si="0"/>
        <v>61866.239999999998</v>
      </c>
      <c r="M15" s="118">
        <f t="shared" si="1"/>
        <v>183133.76</v>
      </c>
      <c r="N15" s="84"/>
    </row>
    <row r="16" spans="2:14" ht="31.5">
      <c r="B16" s="115">
        <v>3</v>
      </c>
      <c r="C16" s="116" t="s">
        <v>151</v>
      </c>
      <c r="D16" s="116" t="s">
        <v>152</v>
      </c>
      <c r="E16" s="117" t="s">
        <v>37</v>
      </c>
      <c r="F16" s="117" t="s">
        <v>150</v>
      </c>
      <c r="G16" s="118">
        <v>180000</v>
      </c>
      <c r="H16" s="118">
        <v>5166</v>
      </c>
      <c r="I16" s="118">
        <v>30923.439999999999</v>
      </c>
      <c r="J16" s="118">
        <v>5472</v>
      </c>
      <c r="K16" s="118">
        <v>31924.53</v>
      </c>
      <c r="L16" s="118">
        <f t="shared" si="0"/>
        <v>73485.97</v>
      </c>
      <c r="M16" s="118">
        <f t="shared" si="1"/>
        <v>106514.03</v>
      </c>
      <c r="N16" s="84"/>
    </row>
    <row r="17" spans="2:14" ht="31.5">
      <c r="B17" s="115">
        <v>4</v>
      </c>
      <c r="C17" s="116" t="s">
        <v>153</v>
      </c>
      <c r="D17" s="116" t="s">
        <v>154</v>
      </c>
      <c r="E17" s="117" t="s">
        <v>36</v>
      </c>
      <c r="F17" s="117" t="s">
        <v>150</v>
      </c>
      <c r="G17" s="118">
        <v>180000</v>
      </c>
      <c r="H17" s="118">
        <v>5166</v>
      </c>
      <c r="I17" s="118">
        <v>30443.49</v>
      </c>
      <c r="J17" s="118">
        <v>5472</v>
      </c>
      <c r="K17" s="118">
        <v>21556.43</v>
      </c>
      <c r="L17" s="118">
        <f t="shared" si="0"/>
        <v>62637.920000000006</v>
      </c>
      <c r="M17" s="118">
        <f t="shared" si="1"/>
        <v>117362.07999999999</v>
      </c>
      <c r="N17" s="84"/>
    </row>
    <row r="18" spans="2:14" ht="20.25">
      <c r="B18" s="115">
        <v>5</v>
      </c>
      <c r="C18" s="116" t="s">
        <v>155</v>
      </c>
      <c r="D18" s="116" t="s">
        <v>156</v>
      </c>
      <c r="E18" s="117" t="s">
        <v>36</v>
      </c>
      <c r="F18" s="117" t="s">
        <v>157</v>
      </c>
      <c r="G18" s="118">
        <v>150000</v>
      </c>
      <c r="H18" s="118">
        <v>4305</v>
      </c>
      <c r="I18" s="118">
        <v>23386.74</v>
      </c>
      <c r="J18" s="118">
        <v>4560</v>
      </c>
      <c r="K18" s="118">
        <v>4944.78</v>
      </c>
      <c r="L18" s="118">
        <f t="shared" si="0"/>
        <v>37196.520000000004</v>
      </c>
      <c r="M18" s="118">
        <f t="shared" si="1"/>
        <v>112803.48</v>
      </c>
      <c r="N18" s="84"/>
    </row>
    <row r="19" spans="2:14" ht="31.5">
      <c r="B19" s="115">
        <v>6</v>
      </c>
      <c r="C19" s="116" t="s">
        <v>158</v>
      </c>
      <c r="D19" s="116" t="s">
        <v>152</v>
      </c>
      <c r="E19" s="117" t="s">
        <v>37</v>
      </c>
      <c r="F19" s="117" t="s">
        <v>150</v>
      </c>
      <c r="G19" s="119">
        <v>180000</v>
      </c>
      <c r="H19" s="118">
        <v>5166</v>
      </c>
      <c r="I19" s="118">
        <v>30923.439999999999</v>
      </c>
      <c r="J19" s="118">
        <v>5472</v>
      </c>
      <c r="K19" s="119">
        <v>41865.15</v>
      </c>
      <c r="L19" s="119">
        <f t="shared" si="0"/>
        <v>83426.59</v>
      </c>
      <c r="M19" s="119">
        <f t="shared" si="1"/>
        <v>96573.41</v>
      </c>
      <c r="N19" s="84"/>
    </row>
    <row r="20" spans="2:14" ht="31.5">
      <c r="B20" s="115">
        <v>7</v>
      </c>
      <c r="C20" s="116" t="s">
        <v>159</v>
      </c>
      <c r="D20" s="116" t="s">
        <v>112</v>
      </c>
      <c r="E20" s="117" t="s">
        <v>37</v>
      </c>
      <c r="F20" s="120" t="s">
        <v>160</v>
      </c>
      <c r="G20" s="118">
        <v>70000</v>
      </c>
      <c r="H20" s="118">
        <v>2009</v>
      </c>
      <c r="I20" s="118">
        <v>4984.49</v>
      </c>
      <c r="J20" s="118">
        <v>2128</v>
      </c>
      <c r="K20" s="118">
        <v>1944.78</v>
      </c>
      <c r="L20" s="118">
        <f t="shared" si="0"/>
        <v>11066.27</v>
      </c>
      <c r="M20" s="119">
        <f t="shared" si="1"/>
        <v>58933.729999999996</v>
      </c>
      <c r="N20" s="84"/>
    </row>
    <row r="21" spans="2:14" ht="31.5">
      <c r="B21" s="115">
        <v>8</v>
      </c>
      <c r="C21" s="121" t="s">
        <v>161</v>
      </c>
      <c r="D21" s="116" t="s">
        <v>112</v>
      </c>
      <c r="E21" s="117" t="s">
        <v>37</v>
      </c>
      <c r="F21" s="120" t="s">
        <v>160</v>
      </c>
      <c r="G21" s="118">
        <v>80000</v>
      </c>
      <c r="H21" s="118">
        <v>2296</v>
      </c>
      <c r="I21" s="118">
        <v>7400.94</v>
      </c>
      <c r="J21" s="118">
        <v>2432</v>
      </c>
      <c r="K21" s="118">
        <v>25</v>
      </c>
      <c r="L21" s="118">
        <f t="shared" si="0"/>
        <v>12153.939999999999</v>
      </c>
      <c r="M21" s="118">
        <f t="shared" si="1"/>
        <v>67846.06</v>
      </c>
      <c r="N21" s="84"/>
    </row>
    <row r="22" spans="2:14" ht="20.25">
      <c r="B22" s="115">
        <v>9</v>
      </c>
      <c r="C22" s="121" t="s">
        <v>162</v>
      </c>
      <c r="D22" s="121" t="s">
        <v>163</v>
      </c>
      <c r="E22" s="117" t="s">
        <v>36</v>
      </c>
      <c r="F22" s="120" t="s">
        <v>160</v>
      </c>
      <c r="G22" s="118">
        <v>40000</v>
      </c>
      <c r="H22" s="118">
        <v>1148</v>
      </c>
      <c r="I22" s="118">
        <v>442.65</v>
      </c>
      <c r="J22" s="118">
        <v>1216</v>
      </c>
      <c r="K22" s="118">
        <v>225</v>
      </c>
      <c r="L22" s="118">
        <f t="shared" si="0"/>
        <v>3031.65</v>
      </c>
      <c r="M22" s="118">
        <f t="shared" si="1"/>
        <v>36968.35</v>
      </c>
      <c r="N22" s="84"/>
    </row>
    <row r="23" spans="2:14" ht="20.25">
      <c r="B23" s="115">
        <v>10</v>
      </c>
      <c r="C23" s="121" t="s">
        <v>164</v>
      </c>
      <c r="D23" s="121" t="s">
        <v>165</v>
      </c>
      <c r="E23" s="117" t="s">
        <v>37</v>
      </c>
      <c r="F23" s="120" t="s">
        <v>157</v>
      </c>
      <c r="G23" s="118">
        <v>80000</v>
      </c>
      <c r="H23" s="118">
        <v>2296</v>
      </c>
      <c r="I23" s="118">
        <v>7400.94</v>
      </c>
      <c r="J23" s="118">
        <v>2432</v>
      </c>
      <c r="K23" s="118">
        <v>3525</v>
      </c>
      <c r="L23" s="118">
        <f t="shared" si="0"/>
        <v>15653.939999999999</v>
      </c>
      <c r="M23" s="118">
        <f t="shared" si="1"/>
        <v>64346.06</v>
      </c>
      <c r="N23" s="84"/>
    </row>
    <row r="24" spans="2:14" ht="20.25">
      <c r="B24" s="115">
        <v>11</v>
      </c>
      <c r="C24" s="122" t="s">
        <v>166</v>
      </c>
      <c r="D24" s="116" t="s">
        <v>167</v>
      </c>
      <c r="E24" s="117" t="s">
        <v>37</v>
      </c>
      <c r="F24" s="117" t="s">
        <v>160</v>
      </c>
      <c r="G24" s="119">
        <v>22000</v>
      </c>
      <c r="H24" s="119">
        <v>631.4</v>
      </c>
      <c r="I24" s="119">
        <v>0</v>
      </c>
      <c r="J24" s="119">
        <v>668.8</v>
      </c>
      <c r="K24" s="119">
        <v>4984.8</v>
      </c>
      <c r="L24" s="119">
        <f t="shared" si="0"/>
        <v>6285</v>
      </c>
      <c r="M24" s="123">
        <f t="shared" si="1"/>
        <v>15715</v>
      </c>
      <c r="N24" s="84"/>
    </row>
    <row r="25" spans="2:14" ht="20.25">
      <c r="B25" s="124" t="s">
        <v>49</v>
      </c>
      <c r="C25" s="125"/>
      <c r="D25" s="125"/>
      <c r="E25" s="117"/>
      <c r="F25" s="124"/>
      <c r="G25" s="126">
        <f t="shared" ref="G25:M25" si="2">SUM(G14:G24)</f>
        <v>1297000</v>
      </c>
      <c r="H25" s="126">
        <f t="shared" si="2"/>
        <v>37223.9</v>
      </c>
      <c r="I25" s="126">
        <f t="shared" si="2"/>
        <v>187104.75</v>
      </c>
      <c r="J25" s="126">
        <f t="shared" si="2"/>
        <v>39040.590000000004</v>
      </c>
      <c r="K25" s="126">
        <f t="shared" si="2"/>
        <v>113065.25</v>
      </c>
      <c r="L25" s="126">
        <f t="shared" si="2"/>
        <v>376434.49000000011</v>
      </c>
      <c r="M25" s="126">
        <f t="shared" si="2"/>
        <v>920565.50999999978</v>
      </c>
      <c r="N25" s="84"/>
    </row>
    <row r="26" spans="2:14" ht="25.5">
      <c r="B26" s="217" t="s">
        <v>168</v>
      </c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84"/>
    </row>
    <row r="27" spans="2:14" ht="20.25">
      <c r="B27" s="113" t="s">
        <v>0</v>
      </c>
      <c r="C27" s="114" t="s">
        <v>1</v>
      </c>
      <c r="D27" s="114" t="s">
        <v>2</v>
      </c>
      <c r="E27" s="113" t="s">
        <v>35</v>
      </c>
      <c r="F27" s="114" t="s">
        <v>3</v>
      </c>
      <c r="G27" s="113" t="s">
        <v>54</v>
      </c>
      <c r="H27" s="113" t="s">
        <v>4</v>
      </c>
      <c r="I27" s="113" t="s">
        <v>6</v>
      </c>
      <c r="J27" s="113" t="s">
        <v>5</v>
      </c>
      <c r="K27" s="113" t="s">
        <v>57</v>
      </c>
      <c r="L27" s="113" t="s">
        <v>56</v>
      </c>
      <c r="M27" s="113" t="s">
        <v>55</v>
      </c>
      <c r="N27" s="84"/>
    </row>
    <row r="28" spans="2:14" ht="31.5">
      <c r="B28" s="115">
        <v>12</v>
      </c>
      <c r="C28" s="116" t="s">
        <v>169</v>
      </c>
      <c r="D28" s="116" t="s">
        <v>170</v>
      </c>
      <c r="E28" s="117" t="s">
        <v>37</v>
      </c>
      <c r="F28" s="117" t="s">
        <v>148</v>
      </c>
      <c r="G28" s="118">
        <f>49000+33500</f>
        <v>82500</v>
      </c>
      <c r="H28" s="118">
        <f>1406.3+961.45</f>
        <v>2367.75</v>
      </c>
      <c r="I28" s="118">
        <f>1712.86+6276.14</f>
        <v>7989</v>
      </c>
      <c r="J28" s="118">
        <f>1489.6+1018.4</f>
        <v>2508</v>
      </c>
      <c r="K28" s="127">
        <v>33910</v>
      </c>
      <c r="L28" s="127">
        <f>H28+I28+J28+K28</f>
        <v>46774.75</v>
      </c>
      <c r="M28" s="128">
        <f>G28-L28</f>
        <v>35725.25</v>
      </c>
      <c r="N28" s="84"/>
    </row>
    <row r="29" spans="2:14" ht="20.25">
      <c r="B29" s="124" t="s">
        <v>49</v>
      </c>
      <c r="C29" s="129"/>
      <c r="D29" s="129"/>
      <c r="E29" s="130"/>
      <c r="F29" s="131"/>
      <c r="G29" s="126">
        <f>+G28</f>
        <v>82500</v>
      </c>
      <c r="H29" s="126">
        <f>SUM(H28)</f>
        <v>2367.75</v>
      </c>
      <c r="I29" s="126">
        <f>SUM(I28)</f>
        <v>7989</v>
      </c>
      <c r="J29" s="126">
        <f>SUM(J28)</f>
        <v>2508</v>
      </c>
      <c r="K29" s="128">
        <f>SUM(K28)</f>
        <v>33910</v>
      </c>
      <c r="L29" s="128">
        <f>SUM(L28)</f>
        <v>46774.75</v>
      </c>
      <c r="M29" s="132">
        <f>G29-L29</f>
        <v>35725.25</v>
      </c>
      <c r="N29" s="84"/>
    </row>
    <row r="30" spans="2:14" ht="25.5">
      <c r="B30" s="218" t="s">
        <v>171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84"/>
    </row>
    <row r="31" spans="2:14" ht="20.25">
      <c r="B31" s="113" t="s">
        <v>0</v>
      </c>
      <c r="C31" s="114" t="s">
        <v>1</v>
      </c>
      <c r="D31" s="114" t="s">
        <v>2</v>
      </c>
      <c r="E31" s="113" t="s">
        <v>35</v>
      </c>
      <c r="F31" s="114" t="s">
        <v>3</v>
      </c>
      <c r="G31" s="113" t="s">
        <v>54</v>
      </c>
      <c r="H31" s="113" t="s">
        <v>4</v>
      </c>
      <c r="I31" s="113" t="s">
        <v>6</v>
      </c>
      <c r="J31" s="113" t="s">
        <v>5</v>
      </c>
      <c r="K31" s="113" t="s">
        <v>57</v>
      </c>
      <c r="L31" s="113" t="s">
        <v>56</v>
      </c>
      <c r="M31" s="113" t="s">
        <v>55</v>
      </c>
      <c r="N31" s="84"/>
    </row>
    <row r="32" spans="2:14" ht="20.25">
      <c r="B32" s="115">
        <v>13</v>
      </c>
      <c r="C32" s="116" t="s">
        <v>172</v>
      </c>
      <c r="D32" s="116" t="s">
        <v>173</v>
      </c>
      <c r="E32" s="133" t="s">
        <v>36</v>
      </c>
      <c r="F32" s="117" t="s">
        <v>148</v>
      </c>
      <c r="G32" s="119">
        <v>50000</v>
      </c>
      <c r="H32" s="119">
        <v>1435</v>
      </c>
      <c r="I32" s="119">
        <v>1854</v>
      </c>
      <c r="J32" s="119">
        <v>1520</v>
      </c>
      <c r="K32" s="119">
        <v>4470.26</v>
      </c>
      <c r="L32" s="119">
        <f>H32+I32+J32+K32</f>
        <v>9279.26</v>
      </c>
      <c r="M32" s="119">
        <f>G32-L32</f>
        <v>40720.74</v>
      </c>
      <c r="N32" s="84"/>
    </row>
    <row r="33" spans="2:14" ht="31.5">
      <c r="B33" s="115">
        <v>14</v>
      </c>
      <c r="C33" s="116" t="s">
        <v>174</v>
      </c>
      <c r="D33" s="116" t="s">
        <v>175</v>
      </c>
      <c r="E33" s="117" t="s">
        <v>37</v>
      </c>
      <c r="F33" s="117" t="s">
        <v>148</v>
      </c>
      <c r="G33" s="118">
        <v>60000</v>
      </c>
      <c r="H33" s="118">
        <v>1722</v>
      </c>
      <c r="I33" s="118">
        <v>3486.65</v>
      </c>
      <c r="J33" s="119">
        <v>1824</v>
      </c>
      <c r="K33" s="118">
        <v>145</v>
      </c>
      <c r="L33" s="119">
        <f>H33+I33+J33+K33</f>
        <v>7177.65</v>
      </c>
      <c r="M33" s="118">
        <f>G33-L33</f>
        <v>52822.35</v>
      </c>
      <c r="N33" s="84"/>
    </row>
    <row r="34" spans="2:14" ht="31.5">
      <c r="B34" s="115">
        <v>15</v>
      </c>
      <c r="C34" s="116" t="s">
        <v>176</v>
      </c>
      <c r="D34" s="116" t="s">
        <v>175</v>
      </c>
      <c r="E34" s="133" t="s">
        <v>37</v>
      </c>
      <c r="F34" s="117" t="s">
        <v>160</v>
      </c>
      <c r="G34" s="119">
        <v>100000</v>
      </c>
      <c r="H34" s="119">
        <v>2870</v>
      </c>
      <c r="I34" s="134">
        <v>11145.55</v>
      </c>
      <c r="J34" s="119">
        <v>3040</v>
      </c>
      <c r="K34" s="119">
        <v>4064.56</v>
      </c>
      <c r="L34" s="119">
        <f>H34+I34+J34+K34</f>
        <v>21120.11</v>
      </c>
      <c r="M34" s="119">
        <f>G34-L34</f>
        <v>78879.89</v>
      </c>
      <c r="N34" s="84"/>
    </row>
    <row r="35" spans="2:14" ht="20.25">
      <c r="B35" s="115">
        <v>16</v>
      </c>
      <c r="C35" s="116" t="s">
        <v>177</v>
      </c>
      <c r="D35" s="116" t="s">
        <v>178</v>
      </c>
      <c r="E35" s="133" t="s">
        <v>37</v>
      </c>
      <c r="F35" s="117" t="s">
        <v>160</v>
      </c>
      <c r="G35" s="119">
        <v>45000</v>
      </c>
      <c r="H35" s="119">
        <v>1291.5</v>
      </c>
      <c r="I35" s="119">
        <v>1148.32</v>
      </c>
      <c r="J35" s="119">
        <v>1368</v>
      </c>
      <c r="K35" s="119">
        <v>25</v>
      </c>
      <c r="L35" s="119">
        <f>H35+I35+J35+K35</f>
        <v>3832.8199999999997</v>
      </c>
      <c r="M35" s="119">
        <f>G35-L35</f>
        <v>41167.18</v>
      </c>
      <c r="N35" s="84"/>
    </row>
    <row r="36" spans="2:14" ht="31.5">
      <c r="B36" s="117">
        <v>17</v>
      </c>
      <c r="C36" s="116" t="s">
        <v>179</v>
      </c>
      <c r="D36" s="121" t="s">
        <v>180</v>
      </c>
      <c r="E36" s="133" t="s">
        <v>36</v>
      </c>
      <c r="F36" s="117" t="s">
        <v>160</v>
      </c>
      <c r="G36" s="135">
        <f>35000+20000</f>
        <v>55000</v>
      </c>
      <c r="H36" s="135">
        <f>574+1004.5</f>
        <v>1578.5</v>
      </c>
      <c r="I36" s="135">
        <v>2559.67</v>
      </c>
      <c r="J36" s="135">
        <f>608+1064</f>
        <v>1672</v>
      </c>
      <c r="K36" s="135">
        <f>725</f>
        <v>725</v>
      </c>
      <c r="L36" s="135">
        <f>H36+I36+J36+K36</f>
        <v>6535.17</v>
      </c>
      <c r="M36" s="135">
        <f>G36-L36</f>
        <v>48464.83</v>
      </c>
      <c r="N36" s="84"/>
    </row>
    <row r="37" spans="2:14" ht="20.25">
      <c r="B37" s="124" t="s">
        <v>49</v>
      </c>
      <c r="C37" s="125"/>
      <c r="D37" s="125"/>
      <c r="E37" s="136"/>
      <c r="F37" s="124"/>
      <c r="G37" s="126">
        <f t="shared" ref="G37:M37" si="3">SUM(G32:G36)</f>
        <v>310000</v>
      </c>
      <c r="H37" s="126">
        <f t="shared" si="3"/>
        <v>8897</v>
      </c>
      <c r="I37" s="126">
        <f t="shared" si="3"/>
        <v>20194.189999999995</v>
      </c>
      <c r="J37" s="126">
        <f t="shared" si="3"/>
        <v>9424</v>
      </c>
      <c r="K37" s="126">
        <f t="shared" si="3"/>
        <v>9429.82</v>
      </c>
      <c r="L37" s="126">
        <f>SUM(L32:L36)</f>
        <v>47945.01</v>
      </c>
      <c r="M37" s="126">
        <f t="shared" si="3"/>
        <v>262054.99</v>
      </c>
      <c r="N37" s="84"/>
    </row>
    <row r="38" spans="2:14" ht="25.5">
      <c r="B38" s="214" t="s">
        <v>181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84"/>
    </row>
    <row r="39" spans="2:14" ht="20.25">
      <c r="B39" s="113" t="s">
        <v>0</v>
      </c>
      <c r="C39" s="114" t="s">
        <v>1</v>
      </c>
      <c r="D39" s="114" t="s">
        <v>2</v>
      </c>
      <c r="E39" s="113" t="s">
        <v>35</v>
      </c>
      <c r="F39" s="114" t="s">
        <v>3</v>
      </c>
      <c r="G39" s="113" t="s">
        <v>54</v>
      </c>
      <c r="H39" s="113" t="s">
        <v>4</v>
      </c>
      <c r="I39" s="113" t="s">
        <v>6</v>
      </c>
      <c r="J39" s="113" t="s">
        <v>5</v>
      </c>
      <c r="K39" s="113" t="s">
        <v>57</v>
      </c>
      <c r="L39" s="113" t="s">
        <v>56</v>
      </c>
      <c r="M39" s="113" t="s">
        <v>55</v>
      </c>
      <c r="N39" s="84"/>
    </row>
    <row r="40" spans="2:14" ht="31.5">
      <c r="B40" s="115">
        <v>18</v>
      </c>
      <c r="C40" s="116" t="s">
        <v>182</v>
      </c>
      <c r="D40" s="116" t="s">
        <v>98</v>
      </c>
      <c r="E40" s="133" t="s">
        <v>36</v>
      </c>
      <c r="F40" s="117" t="s">
        <v>148</v>
      </c>
      <c r="G40" s="119">
        <f>45000+15000</f>
        <v>60000</v>
      </c>
      <c r="H40" s="119">
        <f>1291.5+430.5</f>
        <v>1722</v>
      </c>
      <c r="I40" s="119">
        <f>2242.33+860.36</f>
        <v>3102.69</v>
      </c>
      <c r="J40" s="119">
        <f>1368+456</f>
        <v>1824</v>
      </c>
      <c r="K40" s="119">
        <v>3673.78</v>
      </c>
      <c r="L40" s="119">
        <f>H40+I40+J40+K40</f>
        <v>10322.470000000001</v>
      </c>
      <c r="M40" s="119">
        <f>G40-L40</f>
        <v>49677.53</v>
      </c>
      <c r="N40" s="84"/>
    </row>
    <row r="41" spans="2:14" ht="20.25">
      <c r="B41" s="115">
        <v>19</v>
      </c>
      <c r="C41" s="116" t="s">
        <v>183</v>
      </c>
      <c r="D41" s="121" t="s">
        <v>184</v>
      </c>
      <c r="E41" s="133" t="s">
        <v>37</v>
      </c>
      <c r="F41" s="117" t="s">
        <v>160</v>
      </c>
      <c r="G41" s="119">
        <v>37000</v>
      </c>
      <c r="H41" s="119">
        <v>1061.9000000000001</v>
      </c>
      <c r="I41" s="119">
        <v>19.239999999999998</v>
      </c>
      <c r="J41" s="119">
        <v>1124.8</v>
      </c>
      <c r="K41" s="119">
        <v>7516.08</v>
      </c>
      <c r="L41" s="119">
        <f>H41+I41+J41+K41</f>
        <v>9722.02</v>
      </c>
      <c r="M41" s="119">
        <f>G41-L41</f>
        <v>27277.98</v>
      </c>
      <c r="N41" s="84"/>
    </row>
    <row r="42" spans="2:14" ht="20.25">
      <c r="B42" s="124" t="s">
        <v>49</v>
      </c>
      <c r="C42" s="137"/>
      <c r="D42" s="137"/>
      <c r="E42" s="136"/>
      <c r="F42" s="124"/>
      <c r="G42" s="126">
        <f>SUM(G40:G41)</f>
        <v>97000</v>
      </c>
      <c r="H42" s="126">
        <f>+SUM(H40:H41)</f>
        <v>2783.9</v>
      </c>
      <c r="I42" s="126">
        <f>SUM(I40:I41)</f>
        <v>3121.93</v>
      </c>
      <c r="J42" s="126">
        <f>+SUM(J40:J41)</f>
        <v>2948.8</v>
      </c>
      <c r="K42" s="126">
        <f>SUM(K40:K41)</f>
        <v>11189.86</v>
      </c>
      <c r="L42" s="126">
        <f>SUM(L40:L41)</f>
        <v>20044.490000000002</v>
      </c>
      <c r="M42" s="126">
        <f>SUM(M40:M41)</f>
        <v>76955.509999999995</v>
      </c>
      <c r="N42" s="84"/>
    </row>
    <row r="43" spans="2:14" ht="20.25">
      <c r="B43" s="124"/>
      <c r="C43" s="137"/>
      <c r="D43" s="137"/>
      <c r="E43" s="136"/>
      <c r="F43" s="124"/>
      <c r="G43" s="126"/>
      <c r="H43" s="126"/>
      <c r="I43" s="126"/>
      <c r="J43" s="126"/>
      <c r="K43" s="126"/>
      <c r="L43" s="126"/>
      <c r="M43" s="126"/>
      <c r="N43" s="84"/>
    </row>
    <row r="44" spans="2:14" ht="20.25">
      <c r="B44" s="124"/>
      <c r="C44" s="137"/>
      <c r="D44" s="137"/>
      <c r="E44" s="136"/>
      <c r="F44" s="124"/>
      <c r="G44" s="126"/>
      <c r="H44" s="126"/>
      <c r="I44" s="126"/>
      <c r="J44" s="126"/>
      <c r="K44" s="126"/>
      <c r="L44" s="126"/>
      <c r="M44" s="126"/>
      <c r="N44" s="84"/>
    </row>
    <row r="45" spans="2:14" ht="25.5">
      <c r="B45" s="214" t="s">
        <v>185</v>
      </c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84"/>
    </row>
    <row r="46" spans="2:14" ht="20.25">
      <c r="B46" s="113" t="s">
        <v>0</v>
      </c>
      <c r="C46" s="114" t="s">
        <v>1</v>
      </c>
      <c r="D46" s="114" t="s">
        <v>2</v>
      </c>
      <c r="E46" s="113" t="s">
        <v>35</v>
      </c>
      <c r="F46" s="114" t="s">
        <v>3</v>
      </c>
      <c r="G46" s="113" t="s">
        <v>54</v>
      </c>
      <c r="H46" s="113" t="s">
        <v>4</v>
      </c>
      <c r="I46" s="113" t="s">
        <v>6</v>
      </c>
      <c r="J46" s="113" t="s">
        <v>5</v>
      </c>
      <c r="K46" s="113" t="s">
        <v>57</v>
      </c>
      <c r="L46" s="113" t="s">
        <v>56</v>
      </c>
      <c r="M46" s="113" t="s">
        <v>55</v>
      </c>
      <c r="N46" s="84"/>
    </row>
    <row r="47" spans="2:14" ht="31.5">
      <c r="B47" s="133">
        <v>21</v>
      </c>
      <c r="C47" s="116" t="s">
        <v>186</v>
      </c>
      <c r="D47" s="116" t="s">
        <v>187</v>
      </c>
      <c r="E47" s="133" t="s">
        <v>37</v>
      </c>
      <c r="F47" s="117" t="s">
        <v>148</v>
      </c>
      <c r="G47" s="119">
        <v>100000</v>
      </c>
      <c r="H47" s="119">
        <v>2870</v>
      </c>
      <c r="I47" s="119">
        <v>12105.44</v>
      </c>
      <c r="J47" s="119">
        <v>3040</v>
      </c>
      <c r="K47" s="119">
        <v>28745.11</v>
      </c>
      <c r="L47" s="119">
        <f>H47+I47+J47+K47</f>
        <v>46760.55</v>
      </c>
      <c r="M47" s="119">
        <f t="shared" ref="M47:M53" si="4">G47-L47</f>
        <v>53239.45</v>
      </c>
      <c r="N47" s="84"/>
    </row>
    <row r="48" spans="2:14" ht="31.5">
      <c r="B48" s="133">
        <v>22</v>
      </c>
      <c r="C48" s="116" t="s">
        <v>188</v>
      </c>
      <c r="D48" s="116" t="s">
        <v>189</v>
      </c>
      <c r="E48" s="133" t="s">
        <v>37</v>
      </c>
      <c r="F48" s="117" t="s">
        <v>190</v>
      </c>
      <c r="G48" s="119">
        <v>122500</v>
      </c>
      <c r="H48" s="119">
        <v>3515.75</v>
      </c>
      <c r="I48" s="119">
        <v>16438.11</v>
      </c>
      <c r="J48" s="119">
        <v>3724</v>
      </c>
      <c r="K48" s="119">
        <v>50257.75</v>
      </c>
      <c r="L48" s="119">
        <f t="shared" ref="L48:L53" si="5">H48+I48+J48+K48</f>
        <v>73935.61</v>
      </c>
      <c r="M48" s="119">
        <f t="shared" si="4"/>
        <v>48564.39</v>
      </c>
      <c r="N48" s="84"/>
    </row>
    <row r="49" spans="2:14" ht="31.5">
      <c r="B49" s="133">
        <v>23</v>
      </c>
      <c r="C49" s="116" t="s">
        <v>191</v>
      </c>
      <c r="D49" s="116" t="s">
        <v>79</v>
      </c>
      <c r="E49" s="133" t="s">
        <v>37</v>
      </c>
      <c r="F49" s="117" t="s">
        <v>148</v>
      </c>
      <c r="G49" s="119">
        <v>70000</v>
      </c>
      <c r="H49" s="119">
        <v>2009</v>
      </c>
      <c r="I49" s="119">
        <v>4984.49</v>
      </c>
      <c r="J49" s="119">
        <v>2128</v>
      </c>
      <c r="K49" s="119">
        <v>3644.78</v>
      </c>
      <c r="L49" s="119">
        <f t="shared" si="5"/>
        <v>12766.27</v>
      </c>
      <c r="M49" s="119">
        <f t="shared" si="4"/>
        <v>57233.729999999996</v>
      </c>
      <c r="N49" s="84"/>
    </row>
    <row r="50" spans="2:14" ht="31.5">
      <c r="B50" s="133">
        <v>24</v>
      </c>
      <c r="C50" s="121" t="s">
        <v>192</v>
      </c>
      <c r="D50" s="121" t="s">
        <v>79</v>
      </c>
      <c r="E50" s="133" t="s">
        <v>37</v>
      </c>
      <c r="F50" s="117" t="s">
        <v>160</v>
      </c>
      <c r="G50" s="138">
        <f>35000+20000</f>
        <v>55000</v>
      </c>
      <c r="H50" s="119">
        <f>1004.5+574</f>
        <v>1578.5</v>
      </c>
      <c r="I50" s="119">
        <v>2559.67</v>
      </c>
      <c r="J50" s="138">
        <v>1672</v>
      </c>
      <c r="K50" s="138">
        <v>10204.68</v>
      </c>
      <c r="L50" s="119">
        <v>16014.85</v>
      </c>
      <c r="M50" s="119">
        <f t="shared" si="4"/>
        <v>38985.15</v>
      </c>
      <c r="N50" s="84"/>
    </row>
    <row r="51" spans="2:14" ht="31.5">
      <c r="B51" s="133">
        <v>25</v>
      </c>
      <c r="C51" s="121" t="s">
        <v>193</v>
      </c>
      <c r="D51" s="139" t="s">
        <v>79</v>
      </c>
      <c r="E51" s="133" t="s">
        <v>36</v>
      </c>
      <c r="F51" s="117" t="s">
        <v>148</v>
      </c>
      <c r="G51" s="119">
        <v>60000</v>
      </c>
      <c r="H51" s="119">
        <v>1722</v>
      </c>
      <c r="I51" s="119">
        <v>3486.65</v>
      </c>
      <c r="J51" s="119">
        <v>1824</v>
      </c>
      <c r="K51" s="119">
        <v>325</v>
      </c>
      <c r="L51" s="119">
        <f t="shared" si="5"/>
        <v>7357.65</v>
      </c>
      <c r="M51" s="119">
        <f t="shared" si="4"/>
        <v>52642.35</v>
      </c>
      <c r="N51" s="84"/>
    </row>
    <row r="52" spans="2:14" ht="31.5">
      <c r="B52" s="133">
        <v>26</v>
      </c>
      <c r="C52" s="121" t="s">
        <v>194</v>
      </c>
      <c r="D52" s="121" t="s">
        <v>79</v>
      </c>
      <c r="E52" s="133" t="s">
        <v>37</v>
      </c>
      <c r="F52" s="117" t="s">
        <v>160</v>
      </c>
      <c r="G52" s="119">
        <v>55000</v>
      </c>
      <c r="H52" s="119">
        <v>1578.5</v>
      </c>
      <c r="I52" s="119">
        <v>2271.71</v>
      </c>
      <c r="J52" s="119">
        <v>1672</v>
      </c>
      <c r="K52" s="119">
        <v>5144.78</v>
      </c>
      <c r="L52" s="119">
        <f t="shared" si="5"/>
        <v>10666.99</v>
      </c>
      <c r="M52" s="119">
        <f>G52-L52</f>
        <v>44333.01</v>
      </c>
      <c r="N52" s="84"/>
    </row>
    <row r="53" spans="2:14" ht="20.25">
      <c r="B53" s="133">
        <v>27</v>
      </c>
      <c r="C53" s="121" t="s">
        <v>195</v>
      </c>
      <c r="D53" s="121" t="s">
        <v>196</v>
      </c>
      <c r="E53" s="133" t="s">
        <v>37</v>
      </c>
      <c r="F53" s="117" t="s">
        <v>160</v>
      </c>
      <c r="G53" s="119">
        <v>30000</v>
      </c>
      <c r="H53" s="119">
        <v>861</v>
      </c>
      <c r="I53" s="119">
        <v>0</v>
      </c>
      <c r="J53" s="119">
        <v>912</v>
      </c>
      <c r="K53" s="119">
        <v>2915.63</v>
      </c>
      <c r="L53" s="119">
        <f t="shared" si="5"/>
        <v>4688.63</v>
      </c>
      <c r="M53" s="119">
        <f t="shared" si="4"/>
        <v>25311.37</v>
      </c>
      <c r="N53" s="84"/>
    </row>
    <row r="54" spans="2:14" ht="20.25">
      <c r="B54" s="124" t="s">
        <v>49</v>
      </c>
      <c r="C54" s="125"/>
      <c r="D54" s="125"/>
      <c r="E54" s="136"/>
      <c r="F54" s="124"/>
      <c r="G54" s="126">
        <f t="shared" ref="G54:M54" si="6">SUM(G47:G53)</f>
        <v>492500</v>
      </c>
      <c r="H54" s="126">
        <f t="shared" si="6"/>
        <v>14134.75</v>
      </c>
      <c r="I54" s="126">
        <f t="shared" si="6"/>
        <v>41846.07</v>
      </c>
      <c r="J54" s="126">
        <f t="shared" si="6"/>
        <v>14972</v>
      </c>
      <c r="K54" s="126">
        <f t="shared" si="6"/>
        <v>101237.73000000001</v>
      </c>
      <c r="L54" s="126">
        <f t="shared" si="6"/>
        <v>172190.55</v>
      </c>
      <c r="M54" s="126">
        <f t="shared" si="6"/>
        <v>320309.45</v>
      </c>
      <c r="N54" s="84"/>
    </row>
    <row r="55" spans="2:14" ht="25.5">
      <c r="B55" s="214" t="s">
        <v>197</v>
      </c>
      <c r="C55" s="214" t="s">
        <v>198</v>
      </c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84"/>
    </row>
    <row r="56" spans="2:14" ht="20.25">
      <c r="B56" s="113" t="s">
        <v>0</v>
      </c>
      <c r="C56" s="114" t="s">
        <v>1</v>
      </c>
      <c r="D56" s="114" t="s">
        <v>2</v>
      </c>
      <c r="E56" s="113" t="s">
        <v>35</v>
      </c>
      <c r="F56" s="114" t="s">
        <v>3</v>
      </c>
      <c r="G56" s="113" t="s">
        <v>54</v>
      </c>
      <c r="H56" s="113" t="s">
        <v>4</v>
      </c>
      <c r="I56" s="113" t="s">
        <v>6</v>
      </c>
      <c r="J56" s="113" t="s">
        <v>5</v>
      </c>
      <c r="K56" s="113" t="s">
        <v>57</v>
      </c>
      <c r="L56" s="113" t="s">
        <v>56</v>
      </c>
      <c r="M56" s="113" t="s">
        <v>55</v>
      </c>
      <c r="N56" s="84"/>
    </row>
    <row r="57" spans="2:14" ht="31.5">
      <c r="B57" s="117">
        <v>28</v>
      </c>
      <c r="C57" s="116" t="s">
        <v>199</v>
      </c>
      <c r="D57" s="116" t="s">
        <v>68</v>
      </c>
      <c r="E57" s="117" t="s">
        <v>37</v>
      </c>
      <c r="F57" s="117" t="s">
        <v>148</v>
      </c>
      <c r="G57" s="119">
        <f>55000+7000</f>
        <v>62000</v>
      </c>
      <c r="H57" s="119">
        <f>1578.5+200.9</f>
        <v>1779.4</v>
      </c>
      <c r="I57" s="119">
        <f>2559.67+1303.34</f>
        <v>3863.01</v>
      </c>
      <c r="J57" s="119">
        <f>212.8+1672</f>
        <v>1884.8</v>
      </c>
      <c r="K57" s="119">
        <f>1425</f>
        <v>1425</v>
      </c>
      <c r="L57" s="138">
        <f>H57+I57+J57+K57</f>
        <v>8952.2099999999991</v>
      </c>
      <c r="M57" s="119">
        <f>G57-L57</f>
        <v>53047.79</v>
      </c>
      <c r="N57" s="84"/>
    </row>
    <row r="58" spans="2:14" ht="20.25">
      <c r="B58" s="117">
        <v>29</v>
      </c>
      <c r="C58" s="116" t="s">
        <v>200</v>
      </c>
      <c r="D58" s="116" t="s">
        <v>201</v>
      </c>
      <c r="E58" s="117" t="s">
        <v>37</v>
      </c>
      <c r="F58" s="117" t="s">
        <v>160</v>
      </c>
      <c r="G58" s="119">
        <f>35000+10000</f>
        <v>45000</v>
      </c>
      <c r="H58" s="119">
        <f>1004.5+287</f>
        <v>1291.5</v>
      </c>
      <c r="I58" s="119">
        <f>860.36</f>
        <v>860.36</v>
      </c>
      <c r="J58" s="119">
        <v>1368</v>
      </c>
      <c r="K58" s="119">
        <f>3044.78</f>
        <v>3044.78</v>
      </c>
      <c r="L58" s="138">
        <f>H58+I58+J58+K58</f>
        <v>6564.64</v>
      </c>
      <c r="M58" s="119">
        <f>G58-L58</f>
        <v>38435.360000000001</v>
      </c>
      <c r="N58" s="84"/>
    </row>
    <row r="59" spans="2:14" ht="20.25">
      <c r="B59" s="124" t="s">
        <v>49</v>
      </c>
      <c r="C59" s="137"/>
      <c r="D59" s="137"/>
      <c r="E59" s="136"/>
      <c r="F59" s="124"/>
      <c r="G59" s="126">
        <f t="shared" ref="G59:M59" si="7">SUM(G57:G58)</f>
        <v>107000</v>
      </c>
      <c r="H59" s="126">
        <f t="shared" si="7"/>
        <v>3070.9</v>
      </c>
      <c r="I59" s="126">
        <f t="shared" si="7"/>
        <v>4723.37</v>
      </c>
      <c r="J59" s="126">
        <f t="shared" si="7"/>
        <v>3252.8</v>
      </c>
      <c r="K59" s="126">
        <f t="shared" si="7"/>
        <v>4469.7800000000007</v>
      </c>
      <c r="L59" s="126">
        <f t="shared" si="7"/>
        <v>15516.849999999999</v>
      </c>
      <c r="M59" s="126">
        <f t="shared" si="7"/>
        <v>91483.15</v>
      </c>
      <c r="N59" s="84"/>
    </row>
    <row r="60" spans="2:14" ht="25.5">
      <c r="B60" s="214" t="s">
        <v>202</v>
      </c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84"/>
    </row>
    <row r="61" spans="2:14" ht="20.25">
      <c r="B61" s="113" t="s">
        <v>0</v>
      </c>
      <c r="C61" s="114" t="s">
        <v>1</v>
      </c>
      <c r="D61" s="114" t="s">
        <v>2</v>
      </c>
      <c r="E61" s="113" t="s">
        <v>35</v>
      </c>
      <c r="F61" s="114" t="s">
        <v>3</v>
      </c>
      <c r="G61" s="113" t="s">
        <v>54</v>
      </c>
      <c r="H61" s="113" t="s">
        <v>4</v>
      </c>
      <c r="I61" s="113" t="s">
        <v>6</v>
      </c>
      <c r="J61" s="113" t="s">
        <v>5</v>
      </c>
      <c r="K61" s="113" t="s">
        <v>57</v>
      </c>
      <c r="L61" s="113" t="s">
        <v>56</v>
      </c>
      <c r="M61" s="113" t="s">
        <v>55</v>
      </c>
      <c r="N61" s="84"/>
    </row>
    <row r="62" spans="2:14" ht="47.25">
      <c r="B62" s="117">
        <v>30</v>
      </c>
      <c r="C62" s="116" t="s">
        <v>203</v>
      </c>
      <c r="D62" s="139" t="s">
        <v>204</v>
      </c>
      <c r="E62" s="140" t="s">
        <v>37</v>
      </c>
      <c r="F62" s="117" t="s">
        <v>148</v>
      </c>
      <c r="G62" s="138">
        <f>50000+51500</f>
        <v>101500</v>
      </c>
      <c r="H62" s="138">
        <f>1435+1478.05</f>
        <v>2913.05</v>
      </c>
      <c r="I62" s="138">
        <f>1854+10604.27</f>
        <v>12458.27</v>
      </c>
      <c r="J62" s="138">
        <f>1520+1565.6</f>
        <v>3085.6</v>
      </c>
      <c r="K62" s="138">
        <v>6151.6</v>
      </c>
      <c r="L62" s="138">
        <f>10960.6+13647.92</f>
        <v>24608.52</v>
      </c>
      <c r="M62" s="138">
        <f>G62-L62</f>
        <v>76891.48</v>
      </c>
      <c r="N62" s="84"/>
    </row>
    <row r="63" spans="2:14" ht="20.25">
      <c r="B63" s="124" t="s">
        <v>49</v>
      </c>
      <c r="C63" s="137"/>
      <c r="D63" s="137"/>
      <c r="E63" s="136"/>
      <c r="F63" s="124"/>
      <c r="G63" s="126">
        <f>SUM(G62:G62)</f>
        <v>101500</v>
      </c>
      <c r="H63" s="126">
        <f>SUM(H62:H62)</f>
        <v>2913.05</v>
      </c>
      <c r="I63" s="126">
        <f>SUM(I62:I62)</f>
        <v>12458.27</v>
      </c>
      <c r="J63" s="126">
        <f>+SUM(J62:J62)</f>
        <v>3085.6</v>
      </c>
      <c r="K63" s="126">
        <f>SUM(K62:K62)</f>
        <v>6151.6</v>
      </c>
      <c r="L63" s="126">
        <f>+SUM(L62:L62)</f>
        <v>24608.52</v>
      </c>
      <c r="M63" s="126">
        <f>SUM(M62:M62)</f>
        <v>76891.48</v>
      </c>
      <c r="N63" s="84"/>
    </row>
    <row r="64" spans="2:14" ht="25.5">
      <c r="B64" s="214" t="s">
        <v>205</v>
      </c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84"/>
    </row>
    <row r="65" spans="2:14" ht="20.25">
      <c r="B65" s="113" t="s">
        <v>0</v>
      </c>
      <c r="C65" s="114" t="s">
        <v>1</v>
      </c>
      <c r="D65" s="114" t="s">
        <v>2</v>
      </c>
      <c r="E65" s="113" t="s">
        <v>35</v>
      </c>
      <c r="F65" s="114" t="s">
        <v>3</v>
      </c>
      <c r="G65" s="113" t="s">
        <v>54</v>
      </c>
      <c r="H65" s="113" t="s">
        <v>4</v>
      </c>
      <c r="I65" s="113" t="s">
        <v>6</v>
      </c>
      <c r="J65" s="113" t="s">
        <v>5</v>
      </c>
      <c r="K65" s="113" t="s">
        <v>57</v>
      </c>
      <c r="L65" s="113" t="s">
        <v>56</v>
      </c>
      <c r="M65" s="113" t="s">
        <v>55</v>
      </c>
      <c r="N65" s="84"/>
    </row>
    <row r="66" spans="2:14" ht="31.5">
      <c r="B66" s="115">
        <v>31</v>
      </c>
      <c r="C66" s="116" t="s">
        <v>206</v>
      </c>
      <c r="D66" s="116" t="s">
        <v>207</v>
      </c>
      <c r="E66" s="117" t="s">
        <v>36</v>
      </c>
      <c r="F66" s="117" t="s">
        <v>160</v>
      </c>
      <c r="G66" s="138">
        <v>37000</v>
      </c>
      <c r="H66" s="138">
        <v>1061.9000000000001</v>
      </c>
      <c r="I66" s="119">
        <v>19.239999999999998</v>
      </c>
      <c r="J66" s="138">
        <v>1124.8</v>
      </c>
      <c r="K66" s="138">
        <v>225</v>
      </c>
      <c r="L66" s="138">
        <f t="shared" ref="L66:L71" si="8">H66+I66+J66+K66</f>
        <v>2430.94</v>
      </c>
      <c r="M66" s="138">
        <f t="shared" ref="M66:M71" si="9">G66-L66</f>
        <v>34569.06</v>
      </c>
      <c r="N66" s="84"/>
    </row>
    <row r="67" spans="2:14" ht="31.5">
      <c r="B67" s="115">
        <v>32</v>
      </c>
      <c r="C67" s="122" t="s">
        <v>208</v>
      </c>
      <c r="D67" s="116" t="s">
        <v>209</v>
      </c>
      <c r="E67" s="117" t="s">
        <v>36</v>
      </c>
      <c r="F67" s="117" t="s">
        <v>148</v>
      </c>
      <c r="G67" s="138">
        <v>60000</v>
      </c>
      <c r="H67" s="138">
        <v>1722</v>
      </c>
      <c r="I67" s="119">
        <v>2718.74</v>
      </c>
      <c r="J67" s="138">
        <v>1824</v>
      </c>
      <c r="K67" s="138">
        <v>10637.77</v>
      </c>
      <c r="L67" s="138">
        <f t="shared" si="8"/>
        <v>16902.510000000002</v>
      </c>
      <c r="M67" s="138">
        <f t="shared" si="9"/>
        <v>43097.49</v>
      </c>
      <c r="N67" s="84"/>
    </row>
    <row r="68" spans="2:14" ht="47.25">
      <c r="B68" s="115">
        <v>33</v>
      </c>
      <c r="C68" s="116" t="s">
        <v>210</v>
      </c>
      <c r="D68" s="116" t="s">
        <v>211</v>
      </c>
      <c r="E68" s="117" t="s">
        <v>36</v>
      </c>
      <c r="F68" s="117" t="s">
        <v>148</v>
      </c>
      <c r="G68" s="138">
        <v>122500</v>
      </c>
      <c r="H68" s="138">
        <v>3515.75</v>
      </c>
      <c r="I68" s="138">
        <v>16918.05</v>
      </c>
      <c r="J68" s="138">
        <v>3724</v>
      </c>
      <c r="K68" s="138">
        <v>2044.78</v>
      </c>
      <c r="L68" s="138">
        <f t="shared" si="8"/>
        <v>26202.579999999998</v>
      </c>
      <c r="M68" s="138">
        <f t="shared" si="9"/>
        <v>96297.42</v>
      </c>
      <c r="N68" s="84"/>
    </row>
    <row r="69" spans="2:14" ht="31.5">
      <c r="B69" s="115">
        <v>34</v>
      </c>
      <c r="C69" s="116" t="s">
        <v>212</v>
      </c>
      <c r="D69" s="116" t="s">
        <v>213</v>
      </c>
      <c r="E69" s="117" t="s">
        <v>36</v>
      </c>
      <c r="F69" s="117" t="s">
        <v>148</v>
      </c>
      <c r="G69" s="138">
        <v>54450</v>
      </c>
      <c r="H69" s="138">
        <v>1562.72</v>
      </c>
      <c r="I69" s="119">
        <v>2482.0500000000002</v>
      </c>
      <c r="J69" s="138">
        <v>1655.28</v>
      </c>
      <c r="K69" s="138">
        <v>25</v>
      </c>
      <c r="L69" s="138">
        <f t="shared" si="8"/>
        <v>5725.05</v>
      </c>
      <c r="M69" s="138">
        <f t="shared" si="9"/>
        <v>48724.95</v>
      </c>
      <c r="N69" s="84"/>
    </row>
    <row r="70" spans="2:14" ht="31.5">
      <c r="B70" s="115">
        <v>35</v>
      </c>
      <c r="C70" s="116" t="s">
        <v>214</v>
      </c>
      <c r="D70" s="116" t="s">
        <v>215</v>
      </c>
      <c r="E70" s="117" t="s">
        <v>36</v>
      </c>
      <c r="F70" s="117" t="s">
        <v>148</v>
      </c>
      <c r="G70" s="138">
        <f>48000+45000</f>
        <v>93000</v>
      </c>
      <c r="H70" s="138">
        <v>2669.1</v>
      </c>
      <c r="I70" s="119">
        <v>10458.86</v>
      </c>
      <c r="J70" s="138">
        <v>2827.2</v>
      </c>
      <c r="K70" s="138">
        <v>9233.6200000000008</v>
      </c>
      <c r="L70" s="138">
        <f t="shared" si="8"/>
        <v>25188.78</v>
      </c>
      <c r="M70" s="138">
        <f t="shared" si="9"/>
        <v>67811.22</v>
      </c>
      <c r="N70" s="84"/>
    </row>
    <row r="71" spans="2:14" ht="31.5">
      <c r="B71" s="115">
        <v>36</v>
      </c>
      <c r="C71" s="116" t="s">
        <v>216</v>
      </c>
      <c r="D71" s="116" t="s">
        <v>217</v>
      </c>
      <c r="E71" s="117" t="s">
        <v>36</v>
      </c>
      <c r="F71" s="117" t="s">
        <v>160</v>
      </c>
      <c r="G71" s="138">
        <v>33500</v>
      </c>
      <c r="H71" s="138">
        <v>961.45</v>
      </c>
      <c r="I71" s="119">
        <v>0</v>
      </c>
      <c r="J71" s="138">
        <v>1018.4</v>
      </c>
      <c r="K71" s="138">
        <v>695</v>
      </c>
      <c r="L71" s="138">
        <f t="shared" si="8"/>
        <v>2674.85</v>
      </c>
      <c r="M71" s="138">
        <f t="shared" si="9"/>
        <v>30825.15</v>
      </c>
      <c r="N71" s="84"/>
    </row>
    <row r="72" spans="2:14" ht="20.25">
      <c r="B72" s="124" t="s">
        <v>49</v>
      </c>
      <c r="C72" s="137"/>
      <c r="D72" s="137"/>
      <c r="E72" s="136"/>
      <c r="F72" s="124"/>
      <c r="G72" s="126">
        <v>400450</v>
      </c>
      <c r="H72" s="126">
        <f t="shared" ref="H72:M72" si="10">SUM(H66:H71)</f>
        <v>11492.92</v>
      </c>
      <c r="I72" s="126">
        <f t="shared" si="10"/>
        <v>32596.94</v>
      </c>
      <c r="J72" s="126">
        <f t="shared" si="10"/>
        <v>12173.679999999998</v>
      </c>
      <c r="K72" s="126">
        <f t="shared" si="10"/>
        <v>22861.170000000002</v>
      </c>
      <c r="L72" s="126">
        <f t="shared" si="10"/>
        <v>79124.710000000006</v>
      </c>
      <c r="M72" s="141">
        <f t="shared" si="10"/>
        <v>321325.29000000004</v>
      </c>
      <c r="N72" s="84"/>
    </row>
    <row r="73" spans="2:14" ht="20.25">
      <c r="B73" s="124"/>
      <c r="C73" s="137"/>
      <c r="D73" s="137"/>
      <c r="E73" s="136"/>
      <c r="F73" s="124"/>
      <c r="G73" s="126"/>
      <c r="H73" s="126"/>
      <c r="I73" s="126"/>
      <c r="J73" s="126"/>
      <c r="K73" s="126"/>
      <c r="L73" s="126"/>
      <c r="M73" s="141"/>
      <c r="N73" s="84"/>
    </row>
    <row r="74" spans="2:14" ht="20.25">
      <c r="B74" s="124"/>
      <c r="C74" s="137"/>
      <c r="D74" s="137"/>
      <c r="E74" s="136"/>
      <c r="F74" s="124"/>
      <c r="G74" s="126"/>
      <c r="H74" s="126"/>
      <c r="I74" s="126"/>
      <c r="J74" s="126"/>
      <c r="K74" s="126"/>
      <c r="L74" s="126"/>
      <c r="M74" s="141"/>
      <c r="N74" s="84"/>
    </row>
    <row r="75" spans="2:14" ht="20.25">
      <c r="B75" s="124"/>
      <c r="C75" s="137"/>
      <c r="D75" s="137"/>
      <c r="E75" s="136"/>
      <c r="F75" s="124"/>
      <c r="G75" s="126"/>
      <c r="H75" s="126"/>
      <c r="I75" s="126"/>
      <c r="J75" s="126"/>
      <c r="K75" s="126"/>
      <c r="L75" s="126"/>
      <c r="M75" s="141"/>
      <c r="N75" s="84"/>
    </row>
    <row r="76" spans="2:14" ht="25.5">
      <c r="B76" s="214" t="s">
        <v>218</v>
      </c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84"/>
    </row>
    <row r="77" spans="2:14" ht="20.25">
      <c r="B77" s="113" t="s">
        <v>0</v>
      </c>
      <c r="C77" s="114" t="s">
        <v>1</v>
      </c>
      <c r="D77" s="114" t="s">
        <v>2</v>
      </c>
      <c r="E77" s="113" t="s">
        <v>35</v>
      </c>
      <c r="F77" s="114" t="s">
        <v>3</v>
      </c>
      <c r="G77" s="113" t="s">
        <v>54</v>
      </c>
      <c r="H77" s="113" t="s">
        <v>4</v>
      </c>
      <c r="I77" s="113" t="s">
        <v>6</v>
      </c>
      <c r="J77" s="113" t="s">
        <v>5</v>
      </c>
      <c r="K77" s="113" t="s">
        <v>57</v>
      </c>
      <c r="L77" s="113" t="s">
        <v>56</v>
      </c>
      <c r="M77" s="113" t="s">
        <v>55</v>
      </c>
      <c r="N77" s="84"/>
    </row>
    <row r="78" spans="2:14" ht="31.5">
      <c r="B78" s="115">
        <v>37</v>
      </c>
      <c r="C78" s="116" t="s">
        <v>219</v>
      </c>
      <c r="D78" s="116" t="s">
        <v>220</v>
      </c>
      <c r="E78" s="133" t="s">
        <v>37</v>
      </c>
      <c r="F78" s="117" t="s">
        <v>148</v>
      </c>
      <c r="G78" s="119">
        <v>122500</v>
      </c>
      <c r="H78" s="119">
        <v>3515.75</v>
      </c>
      <c r="I78" s="119">
        <v>17398</v>
      </c>
      <c r="J78" s="119">
        <v>3724</v>
      </c>
      <c r="K78" s="119">
        <v>4138.3</v>
      </c>
      <c r="L78" s="119">
        <f>H78+I78+J78+K78</f>
        <v>28776.05</v>
      </c>
      <c r="M78" s="119">
        <f>G78-L78</f>
        <v>93723.95</v>
      </c>
      <c r="N78" s="84"/>
    </row>
    <row r="79" spans="2:14" ht="31.5">
      <c r="B79" s="117">
        <v>38</v>
      </c>
      <c r="C79" s="116" t="s">
        <v>221</v>
      </c>
      <c r="D79" s="116" t="s">
        <v>222</v>
      </c>
      <c r="E79" s="117" t="s">
        <v>36</v>
      </c>
      <c r="F79" s="117" t="s">
        <v>160</v>
      </c>
      <c r="G79" s="119">
        <f>35000+20000</f>
        <v>55000</v>
      </c>
      <c r="H79" s="119">
        <f>1004.5+574</f>
        <v>1578.5</v>
      </c>
      <c r="I79" s="119">
        <v>2559.67</v>
      </c>
      <c r="J79" s="119">
        <f>1064+608</f>
        <v>1672</v>
      </c>
      <c r="K79" s="119">
        <v>1425</v>
      </c>
      <c r="L79" s="119">
        <f>H79+I79+J79+K79</f>
        <v>7235.17</v>
      </c>
      <c r="M79" s="138">
        <f>G79-L79</f>
        <v>47764.83</v>
      </c>
      <c r="N79" s="84"/>
    </row>
    <row r="80" spans="2:14" ht="20.25">
      <c r="B80" s="124" t="s">
        <v>49</v>
      </c>
      <c r="C80" s="137"/>
      <c r="D80" s="137"/>
      <c r="E80" s="136"/>
      <c r="F80" s="124"/>
      <c r="G80" s="126">
        <f t="shared" ref="G80:M80" si="11">SUM(G78:G79)</f>
        <v>177500</v>
      </c>
      <c r="H80" s="126">
        <f t="shared" si="11"/>
        <v>5094.25</v>
      </c>
      <c r="I80" s="126">
        <f t="shared" si="11"/>
        <v>19957.669999999998</v>
      </c>
      <c r="J80" s="126">
        <f t="shared" si="11"/>
        <v>5396</v>
      </c>
      <c r="K80" s="126">
        <f t="shared" si="11"/>
        <v>5563.3</v>
      </c>
      <c r="L80" s="126">
        <f>SUM(L78:L79)</f>
        <v>36011.22</v>
      </c>
      <c r="M80" s="126">
        <f t="shared" si="11"/>
        <v>141488.78</v>
      </c>
      <c r="N80" s="84"/>
    </row>
    <row r="81" spans="2:14" ht="25.5">
      <c r="B81" s="214" t="s">
        <v>223</v>
      </c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84"/>
    </row>
    <row r="82" spans="2:14" ht="20.25">
      <c r="B82" s="113" t="s">
        <v>0</v>
      </c>
      <c r="C82" s="114" t="s">
        <v>1</v>
      </c>
      <c r="D82" s="114" t="s">
        <v>2</v>
      </c>
      <c r="E82" s="113" t="s">
        <v>35</v>
      </c>
      <c r="F82" s="114" t="s">
        <v>3</v>
      </c>
      <c r="G82" s="113" t="s">
        <v>54</v>
      </c>
      <c r="H82" s="113" t="s">
        <v>4</v>
      </c>
      <c r="I82" s="113" t="s">
        <v>6</v>
      </c>
      <c r="J82" s="113" t="s">
        <v>5</v>
      </c>
      <c r="K82" s="113" t="s">
        <v>57</v>
      </c>
      <c r="L82" s="113" t="s">
        <v>56</v>
      </c>
      <c r="M82" s="113" t="s">
        <v>55</v>
      </c>
      <c r="N82" s="84"/>
    </row>
    <row r="83" spans="2:14" ht="31.5">
      <c r="B83" s="115">
        <v>39</v>
      </c>
      <c r="C83" s="121" t="s">
        <v>224</v>
      </c>
      <c r="D83" s="116" t="s">
        <v>112</v>
      </c>
      <c r="E83" s="117" t="s">
        <v>37</v>
      </c>
      <c r="F83" s="120" t="s">
        <v>160</v>
      </c>
      <c r="G83" s="142">
        <v>70000</v>
      </c>
      <c r="H83" s="138">
        <f>G83*0.0287</f>
        <v>2009</v>
      </c>
      <c r="I83" s="119">
        <v>5368.45</v>
      </c>
      <c r="J83" s="119">
        <f>IF(G83&lt;75829.93,G83*0.0304,2305.23)</f>
        <v>2128</v>
      </c>
      <c r="K83" s="118">
        <v>41818.18</v>
      </c>
      <c r="L83" s="118">
        <f>+H83+J83+I83+K83</f>
        <v>51323.630000000005</v>
      </c>
      <c r="M83" s="118">
        <f>+G83-L83</f>
        <v>18676.369999999995</v>
      </c>
      <c r="N83" s="84"/>
    </row>
    <row r="84" spans="2:14" ht="20.25">
      <c r="B84" s="124" t="s">
        <v>49</v>
      </c>
      <c r="C84" s="137"/>
      <c r="D84" s="137"/>
      <c r="E84" s="136"/>
      <c r="F84" s="124"/>
      <c r="G84" s="143">
        <f>+G83</f>
        <v>70000</v>
      </c>
      <c r="H84" s="144">
        <f>+SUM(H83)</f>
        <v>2009</v>
      </c>
      <c r="I84" s="145">
        <f>SUM(I83)</f>
        <v>5368.45</v>
      </c>
      <c r="J84" s="143">
        <f>+SUM(J83)</f>
        <v>2128</v>
      </c>
      <c r="K84" s="143">
        <f>+K83</f>
        <v>41818.18</v>
      </c>
      <c r="L84" s="126">
        <f>SUM(L83)</f>
        <v>51323.630000000005</v>
      </c>
      <c r="M84" s="143">
        <f>SUM(M83)</f>
        <v>18676.369999999995</v>
      </c>
      <c r="N84" s="84"/>
    </row>
    <row r="85" spans="2:14" ht="25.5">
      <c r="B85" s="214" t="s">
        <v>225</v>
      </c>
      <c r="C85" s="214" t="s">
        <v>198</v>
      </c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84"/>
    </row>
    <row r="86" spans="2:14" ht="20.25">
      <c r="B86" s="113" t="s">
        <v>0</v>
      </c>
      <c r="C86" s="114" t="s">
        <v>1</v>
      </c>
      <c r="D86" s="114" t="s">
        <v>2</v>
      </c>
      <c r="E86" s="113" t="s">
        <v>35</v>
      </c>
      <c r="F86" s="114" t="s">
        <v>3</v>
      </c>
      <c r="G86" s="113" t="s">
        <v>54</v>
      </c>
      <c r="H86" s="113" t="s">
        <v>4</v>
      </c>
      <c r="I86" s="113" t="s">
        <v>6</v>
      </c>
      <c r="J86" s="113" t="s">
        <v>5</v>
      </c>
      <c r="K86" s="113" t="s">
        <v>57</v>
      </c>
      <c r="L86" s="113" t="s">
        <v>56</v>
      </c>
      <c r="M86" s="113" t="s">
        <v>55</v>
      </c>
      <c r="N86" s="84"/>
    </row>
    <row r="87" spans="2:14" ht="31.5">
      <c r="B87" s="115">
        <v>40</v>
      </c>
      <c r="C87" s="116" t="s">
        <v>226</v>
      </c>
      <c r="D87" s="116" t="s">
        <v>227</v>
      </c>
      <c r="E87" s="133" t="s">
        <v>37</v>
      </c>
      <c r="F87" s="117" t="s">
        <v>148</v>
      </c>
      <c r="G87" s="146">
        <v>60000</v>
      </c>
      <c r="H87" s="146">
        <v>1722</v>
      </c>
      <c r="I87" s="146">
        <v>3486.65</v>
      </c>
      <c r="J87" s="146">
        <v>1824</v>
      </c>
      <c r="K87" s="146">
        <v>225</v>
      </c>
      <c r="L87" s="146">
        <f>H87+I87+J87+K87</f>
        <v>7257.65</v>
      </c>
      <c r="M87" s="146">
        <f>G87-L87</f>
        <v>52742.35</v>
      </c>
      <c r="N87" s="84"/>
    </row>
    <row r="88" spans="2:14" ht="20.25">
      <c r="B88" s="115">
        <v>41</v>
      </c>
      <c r="C88" s="116" t="s">
        <v>228</v>
      </c>
      <c r="D88" s="116" t="s">
        <v>229</v>
      </c>
      <c r="E88" s="117" t="s">
        <v>37</v>
      </c>
      <c r="F88" s="117" t="s">
        <v>148</v>
      </c>
      <c r="G88" s="147">
        <v>60000</v>
      </c>
      <c r="H88" s="147">
        <v>1722</v>
      </c>
      <c r="I88" s="148">
        <v>3102.69</v>
      </c>
      <c r="J88" s="147">
        <v>1824</v>
      </c>
      <c r="K88" s="147">
        <v>20975.5</v>
      </c>
      <c r="L88" s="147">
        <v>27624.19</v>
      </c>
      <c r="M88" s="147">
        <f>G88-L88</f>
        <v>32375.81</v>
      </c>
      <c r="N88" s="84"/>
    </row>
    <row r="89" spans="2:14" ht="20.25">
      <c r="B89" s="117">
        <v>42</v>
      </c>
      <c r="C89" s="116" t="s">
        <v>230</v>
      </c>
      <c r="D89" s="116" t="s">
        <v>229</v>
      </c>
      <c r="E89" s="117" t="s">
        <v>37</v>
      </c>
      <c r="F89" s="117" t="s">
        <v>148</v>
      </c>
      <c r="G89" s="146">
        <v>50000</v>
      </c>
      <c r="H89" s="146">
        <v>1435</v>
      </c>
      <c r="I89" s="146">
        <v>1854</v>
      </c>
      <c r="J89" s="146">
        <v>1520</v>
      </c>
      <c r="K89" s="146">
        <v>3877.23</v>
      </c>
      <c r="L89" s="146">
        <f>H89+I89+J89+K89</f>
        <v>8686.23</v>
      </c>
      <c r="M89" s="146">
        <f>G89-L89</f>
        <v>41313.770000000004</v>
      </c>
      <c r="N89" s="84"/>
    </row>
    <row r="90" spans="2:14" ht="20.25">
      <c r="B90" s="124" t="s">
        <v>49</v>
      </c>
      <c r="C90" s="137"/>
      <c r="D90" s="137"/>
      <c r="E90" s="136"/>
      <c r="F90" s="124"/>
      <c r="G90" s="126">
        <f t="shared" ref="G90:L90" si="12">SUM(G87:G89)</f>
        <v>170000</v>
      </c>
      <c r="H90" s="126">
        <f t="shared" si="12"/>
        <v>4879</v>
      </c>
      <c r="I90" s="126">
        <f t="shared" si="12"/>
        <v>8443.34</v>
      </c>
      <c r="J90" s="126">
        <f t="shared" si="12"/>
        <v>5168</v>
      </c>
      <c r="K90" s="126">
        <f t="shared" si="12"/>
        <v>25077.73</v>
      </c>
      <c r="L90" s="126">
        <f t="shared" si="12"/>
        <v>43568.069999999992</v>
      </c>
      <c r="M90" s="126">
        <f>G90-L90</f>
        <v>126431.93000000001</v>
      </c>
      <c r="N90" s="84"/>
    </row>
    <row r="91" spans="2:14" ht="25.5">
      <c r="B91" s="214" t="s">
        <v>231</v>
      </c>
      <c r="C91" s="214" t="s">
        <v>198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84"/>
    </row>
    <row r="92" spans="2:14" ht="20.25">
      <c r="B92" s="113" t="s">
        <v>0</v>
      </c>
      <c r="C92" s="114" t="s">
        <v>1</v>
      </c>
      <c r="D92" s="114" t="s">
        <v>2</v>
      </c>
      <c r="E92" s="113" t="s">
        <v>35</v>
      </c>
      <c r="F92" s="114" t="s">
        <v>3</v>
      </c>
      <c r="G92" s="113" t="s">
        <v>54</v>
      </c>
      <c r="H92" s="113" t="s">
        <v>4</v>
      </c>
      <c r="I92" s="113" t="s">
        <v>6</v>
      </c>
      <c r="J92" s="113" t="s">
        <v>5</v>
      </c>
      <c r="K92" s="113" t="s">
        <v>57</v>
      </c>
      <c r="L92" s="113" t="s">
        <v>56</v>
      </c>
      <c r="M92" s="113" t="s">
        <v>55</v>
      </c>
      <c r="N92" s="84"/>
    </row>
    <row r="93" spans="2:14" ht="20.25">
      <c r="B93" s="115">
        <v>43</v>
      </c>
      <c r="C93" s="116" t="s">
        <v>232</v>
      </c>
      <c r="D93" s="116" t="s">
        <v>233</v>
      </c>
      <c r="E93" s="133" t="s">
        <v>36</v>
      </c>
      <c r="F93" s="117" t="s">
        <v>160</v>
      </c>
      <c r="G93" s="119">
        <v>60000</v>
      </c>
      <c r="H93" s="119">
        <v>1722</v>
      </c>
      <c r="I93" s="119">
        <v>3486.65</v>
      </c>
      <c r="J93" s="119">
        <v>1824</v>
      </c>
      <c r="K93" s="119">
        <v>16121.52</v>
      </c>
      <c r="L93" s="119">
        <f t="shared" ref="L93:L99" si="13">H93+I93+J93+K93</f>
        <v>23154.17</v>
      </c>
      <c r="M93" s="119">
        <f t="shared" ref="M93:M100" si="14">G93-L93</f>
        <v>36845.83</v>
      </c>
      <c r="N93" s="84"/>
    </row>
    <row r="94" spans="2:14" ht="31.5">
      <c r="B94" s="149" t="s">
        <v>234</v>
      </c>
      <c r="C94" s="116" t="s">
        <v>235</v>
      </c>
      <c r="D94" s="116" t="s">
        <v>217</v>
      </c>
      <c r="E94" s="117" t="s">
        <v>36</v>
      </c>
      <c r="F94" s="117" t="s">
        <v>160</v>
      </c>
      <c r="G94" s="119">
        <v>33500</v>
      </c>
      <c r="H94" s="119">
        <v>961.45</v>
      </c>
      <c r="I94" s="119">
        <v>0</v>
      </c>
      <c r="J94" s="119">
        <v>1018.4</v>
      </c>
      <c r="K94" s="119">
        <v>22840.17</v>
      </c>
      <c r="L94" s="119">
        <f t="shared" si="13"/>
        <v>24820.019999999997</v>
      </c>
      <c r="M94" s="119">
        <f t="shared" si="14"/>
        <v>8679.9800000000032</v>
      </c>
      <c r="N94" s="84"/>
    </row>
    <row r="95" spans="2:14" ht="20.25">
      <c r="B95" s="117">
        <v>45</v>
      </c>
      <c r="C95" s="122" t="s">
        <v>236</v>
      </c>
      <c r="D95" s="116" t="s">
        <v>237</v>
      </c>
      <c r="E95" s="117" t="s">
        <v>36</v>
      </c>
      <c r="F95" s="117" t="s">
        <v>160</v>
      </c>
      <c r="G95" s="119">
        <v>26000</v>
      </c>
      <c r="H95" s="123">
        <v>746.2</v>
      </c>
      <c r="I95" s="150">
        <v>0</v>
      </c>
      <c r="J95" s="119">
        <v>790.4</v>
      </c>
      <c r="K95" s="123">
        <v>25</v>
      </c>
      <c r="L95" s="123">
        <f t="shared" si="13"/>
        <v>1561.6</v>
      </c>
      <c r="M95" s="138">
        <f t="shared" si="14"/>
        <v>24438.400000000001</v>
      </c>
      <c r="N95" s="151"/>
    </row>
    <row r="96" spans="2:14" ht="20.25">
      <c r="B96" s="117">
        <v>46</v>
      </c>
      <c r="C96" s="116" t="s">
        <v>238</v>
      </c>
      <c r="D96" s="116" t="s">
        <v>217</v>
      </c>
      <c r="E96" s="117" t="s">
        <v>37</v>
      </c>
      <c r="F96" s="117" t="s">
        <v>160</v>
      </c>
      <c r="G96" s="119">
        <v>35000</v>
      </c>
      <c r="H96" s="119">
        <v>1004.5</v>
      </c>
      <c r="I96" s="119">
        <v>0</v>
      </c>
      <c r="J96" s="119">
        <v>1064</v>
      </c>
      <c r="K96" s="119">
        <v>225</v>
      </c>
      <c r="L96" s="119">
        <f t="shared" si="13"/>
        <v>2293.5</v>
      </c>
      <c r="M96" s="119">
        <f t="shared" si="14"/>
        <v>32706.5</v>
      </c>
      <c r="N96" s="151"/>
    </row>
    <row r="97" spans="2:14" ht="20.25">
      <c r="B97" s="117">
        <v>47</v>
      </c>
      <c r="C97" s="116" t="s">
        <v>239</v>
      </c>
      <c r="D97" s="116" t="s">
        <v>217</v>
      </c>
      <c r="E97" s="117" t="s">
        <v>36</v>
      </c>
      <c r="F97" s="117" t="s">
        <v>157</v>
      </c>
      <c r="G97" s="119">
        <v>33500</v>
      </c>
      <c r="H97" s="119">
        <v>961.45</v>
      </c>
      <c r="I97" s="119">
        <v>0</v>
      </c>
      <c r="J97" s="119">
        <v>1018.4</v>
      </c>
      <c r="K97" s="119">
        <v>4562.2</v>
      </c>
      <c r="L97" s="119">
        <f t="shared" si="13"/>
        <v>6542.0499999999993</v>
      </c>
      <c r="M97" s="119">
        <f t="shared" si="14"/>
        <v>26957.95</v>
      </c>
      <c r="N97" s="151"/>
    </row>
    <row r="98" spans="2:14" ht="31.5">
      <c r="B98" s="115">
        <v>48</v>
      </c>
      <c r="C98" s="152" t="s">
        <v>240</v>
      </c>
      <c r="D98" s="152" t="s">
        <v>241</v>
      </c>
      <c r="E98" s="117" t="s">
        <v>37</v>
      </c>
      <c r="F98" s="117" t="s">
        <v>160</v>
      </c>
      <c r="G98" s="138">
        <v>33500</v>
      </c>
      <c r="H98" s="118">
        <v>961.45</v>
      </c>
      <c r="I98" s="150">
        <v>0</v>
      </c>
      <c r="J98" s="119">
        <v>1018.4</v>
      </c>
      <c r="K98" s="138">
        <v>3391.51</v>
      </c>
      <c r="L98" s="138">
        <f t="shared" si="13"/>
        <v>5371.3600000000006</v>
      </c>
      <c r="M98" s="118">
        <f t="shared" si="14"/>
        <v>28128.639999999999</v>
      </c>
      <c r="N98" s="151"/>
    </row>
    <row r="99" spans="2:14" ht="31.5">
      <c r="B99" s="115">
        <v>49</v>
      </c>
      <c r="C99" s="152" t="s">
        <v>242</v>
      </c>
      <c r="D99" s="152" t="s">
        <v>243</v>
      </c>
      <c r="E99" s="117" t="s">
        <v>37</v>
      </c>
      <c r="F99" s="117" t="s">
        <v>160</v>
      </c>
      <c r="G99" s="138">
        <v>30000</v>
      </c>
      <c r="H99" s="118">
        <v>861</v>
      </c>
      <c r="I99" s="150">
        <v>0</v>
      </c>
      <c r="J99" s="119">
        <v>912</v>
      </c>
      <c r="K99" s="138">
        <v>6279.06</v>
      </c>
      <c r="L99" s="138">
        <f t="shared" si="13"/>
        <v>8052.06</v>
      </c>
      <c r="M99" s="118">
        <f t="shared" si="14"/>
        <v>21947.94</v>
      </c>
      <c r="N99" s="151"/>
    </row>
    <row r="100" spans="2:14" ht="20.25">
      <c r="B100" s="115">
        <v>50</v>
      </c>
      <c r="C100" s="152" t="s">
        <v>244</v>
      </c>
      <c r="D100" s="152" t="s">
        <v>217</v>
      </c>
      <c r="E100" s="117" t="s">
        <v>36</v>
      </c>
      <c r="F100" s="117" t="s">
        <v>160</v>
      </c>
      <c r="G100" s="138">
        <v>30000</v>
      </c>
      <c r="H100" s="118">
        <v>861</v>
      </c>
      <c r="I100" s="150">
        <v>0</v>
      </c>
      <c r="J100" s="119">
        <v>912</v>
      </c>
      <c r="K100" s="138">
        <v>225</v>
      </c>
      <c r="L100" s="138">
        <f>H100+I100+J100+K100</f>
        <v>1998</v>
      </c>
      <c r="M100" s="118">
        <f t="shared" si="14"/>
        <v>28002</v>
      </c>
      <c r="N100" s="151"/>
    </row>
    <row r="101" spans="2:14" ht="20.25">
      <c r="B101" s="124" t="s">
        <v>49</v>
      </c>
      <c r="C101" s="137"/>
      <c r="D101" s="137"/>
      <c r="E101" s="136"/>
      <c r="F101" s="124"/>
      <c r="G101" s="126">
        <f t="shared" ref="G101:M101" si="15">SUM(G93:G100)</f>
        <v>281500</v>
      </c>
      <c r="H101" s="126">
        <f t="shared" si="15"/>
        <v>8079.0499999999993</v>
      </c>
      <c r="I101" s="126">
        <f t="shared" si="15"/>
        <v>3486.65</v>
      </c>
      <c r="J101" s="126">
        <f t="shared" si="15"/>
        <v>8557.5999999999985</v>
      </c>
      <c r="K101" s="126">
        <f t="shared" si="15"/>
        <v>53669.46</v>
      </c>
      <c r="L101" s="126">
        <f t="shared" si="15"/>
        <v>73792.759999999995</v>
      </c>
      <c r="M101" s="126">
        <f t="shared" si="15"/>
        <v>207707.24</v>
      </c>
      <c r="N101" s="151"/>
    </row>
    <row r="102" spans="2:14" ht="25.5">
      <c r="B102" s="214" t="s">
        <v>245</v>
      </c>
      <c r="C102" s="214" t="s">
        <v>198</v>
      </c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151"/>
    </row>
    <row r="103" spans="2:14" ht="20.25">
      <c r="B103" s="113" t="s">
        <v>0</v>
      </c>
      <c r="C103" s="114" t="s">
        <v>1</v>
      </c>
      <c r="D103" s="114" t="s">
        <v>2</v>
      </c>
      <c r="E103" s="113" t="s">
        <v>35</v>
      </c>
      <c r="F103" s="114" t="s">
        <v>3</v>
      </c>
      <c r="G103" s="113" t="s">
        <v>54</v>
      </c>
      <c r="H103" s="113" t="s">
        <v>4</v>
      </c>
      <c r="I103" s="113" t="s">
        <v>6</v>
      </c>
      <c r="J103" s="113" t="s">
        <v>5</v>
      </c>
      <c r="K103" s="113" t="s">
        <v>57</v>
      </c>
      <c r="L103" s="113" t="s">
        <v>56</v>
      </c>
      <c r="M103" s="113" t="s">
        <v>55</v>
      </c>
      <c r="N103" s="151"/>
    </row>
    <row r="104" spans="2:14" ht="31.5">
      <c r="B104" s="117">
        <v>51</v>
      </c>
      <c r="C104" s="116" t="s">
        <v>246</v>
      </c>
      <c r="D104" s="116" t="s">
        <v>247</v>
      </c>
      <c r="E104" s="117" t="s">
        <v>36</v>
      </c>
      <c r="F104" s="117" t="s">
        <v>148</v>
      </c>
      <c r="G104" s="119">
        <f>45000+37500</f>
        <v>82500</v>
      </c>
      <c r="H104" s="119">
        <f>1291.5+1076.25</f>
        <v>2367.75</v>
      </c>
      <c r="I104" s="119">
        <f>1148.32+6840.68</f>
        <v>7989</v>
      </c>
      <c r="J104" s="119">
        <f>1368+1140</f>
        <v>2508</v>
      </c>
      <c r="K104" s="119">
        <v>26847.86</v>
      </c>
      <c r="L104" s="119">
        <f>H104+I104+J104+K104</f>
        <v>39712.61</v>
      </c>
      <c r="M104" s="119">
        <f>G104-L104</f>
        <v>42787.39</v>
      </c>
      <c r="N104" s="151"/>
    </row>
    <row r="105" spans="2:14" ht="20.25">
      <c r="B105" s="124" t="s">
        <v>49</v>
      </c>
      <c r="C105" s="137"/>
      <c r="D105" s="137"/>
      <c r="E105" s="136"/>
      <c r="F105" s="124"/>
      <c r="G105" s="126">
        <f>SUM(G104)</f>
        <v>82500</v>
      </c>
      <c r="H105" s="126">
        <f t="shared" ref="H105:M105" si="16">SUM(H104:H104)</f>
        <v>2367.75</v>
      </c>
      <c r="I105" s="126">
        <f>SUM(I104)</f>
        <v>7989</v>
      </c>
      <c r="J105" s="126">
        <f t="shared" si="16"/>
        <v>2508</v>
      </c>
      <c r="K105" s="126">
        <f t="shared" si="16"/>
        <v>26847.86</v>
      </c>
      <c r="L105" s="126">
        <f t="shared" si="16"/>
        <v>39712.61</v>
      </c>
      <c r="M105" s="126">
        <f t="shared" si="16"/>
        <v>42787.39</v>
      </c>
      <c r="N105" s="151"/>
    </row>
    <row r="106" spans="2:14" ht="25.5">
      <c r="B106" s="214" t="s">
        <v>248</v>
      </c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151"/>
    </row>
    <row r="107" spans="2:14" ht="20.25">
      <c r="B107" s="113" t="s">
        <v>0</v>
      </c>
      <c r="C107" s="114" t="s">
        <v>1</v>
      </c>
      <c r="D107" s="114" t="s">
        <v>2</v>
      </c>
      <c r="E107" s="113" t="s">
        <v>35</v>
      </c>
      <c r="F107" s="114" t="s">
        <v>3</v>
      </c>
      <c r="G107" s="113" t="s">
        <v>54</v>
      </c>
      <c r="H107" s="113" t="s">
        <v>4</v>
      </c>
      <c r="I107" s="113" t="s">
        <v>6</v>
      </c>
      <c r="J107" s="113" t="s">
        <v>5</v>
      </c>
      <c r="K107" s="113" t="s">
        <v>57</v>
      </c>
      <c r="L107" s="113" t="s">
        <v>56</v>
      </c>
      <c r="M107" s="113" t="s">
        <v>55</v>
      </c>
      <c r="N107" s="151"/>
    </row>
    <row r="108" spans="2:14" ht="20.25">
      <c r="B108" s="153">
        <v>52</v>
      </c>
      <c r="C108" s="122" t="s">
        <v>249</v>
      </c>
      <c r="D108" s="122" t="s">
        <v>237</v>
      </c>
      <c r="E108" s="153" t="s">
        <v>36</v>
      </c>
      <c r="F108" s="153" t="s">
        <v>160</v>
      </c>
      <c r="G108" s="135">
        <v>25000</v>
      </c>
      <c r="H108" s="135">
        <v>717.5</v>
      </c>
      <c r="I108" s="135">
        <v>0</v>
      </c>
      <c r="J108" s="135">
        <v>760</v>
      </c>
      <c r="K108" s="154">
        <v>325</v>
      </c>
      <c r="L108" s="135">
        <f t="shared" ref="L108:L113" si="17">H108+I108+J108+K108</f>
        <v>1802.5</v>
      </c>
      <c r="M108" s="155">
        <f t="shared" ref="M108:M126" si="18">G108-L108</f>
        <v>23197.5</v>
      </c>
      <c r="N108" s="151"/>
    </row>
    <row r="109" spans="2:14" ht="20.25">
      <c r="B109" s="153">
        <v>53</v>
      </c>
      <c r="C109" s="122" t="s">
        <v>250</v>
      </c>
      <c r="D109" s="122" t="s">
        <v>167</v>
      </c>
      <c r="E109" s="153" t="s">
        <v>37</v>
      </c>
      <c r="F109" s="153" t="s">
        <v>148</v>
      </c>
      <c r="G109" s="135">
        <v>22000</v>
      </c>
      <c r="H109" s="135">
        <v>631.4</v>
      </c>
      <c r="I109" s="135">
        <v>0</v>
      </c>
      <c r="J109" s="135">
        <v>668.8</v>
      </c>
      <c r="K109" s="135">
        <v>3430.46</v>
      </c>
      <c r="L109" s="135">
        <f t="shared" si="17"/>
        <v>4730.66</v>
      </c>
      <c r="M109" s="155">
        <f t="shared" si="18"/>
        <v>17269.34</v>
      </c>
      <c r="N109" s="151"/>
    </row>
    <row r="110" spans="2:14" ht="31.5">
      <c r="B110" s="153">
        <v>54</v>
      </c>
      <c r="C110" s="122" t="s">
        <v>251</v>
      </c>
      <c r="D110" s="122" t="s">
        <v>252</v>
      </c>
      <c r="E110" s="153" t="s">
        <v>36</v>
      </c>
      <c r="F110" s="153" t="s">
        <v>160</v>
      </c>
      <c r="G110" s="135">
        <v>75000</v>
      </c>
      <c r="H110" s="135">
        <v>2152.5</v>
      </c>
      <c r="I110" s="135">
        <v>6309.35</v>
      </c>
      <c r="J110" s="135">
        <v>2280</v>
      </c>
      <c r="K110" s="135">
        <v>7730.74</v>
      </c>
      <c r="L110" s="135">
        <f t="shared" si="17"/>
        <v>18472.59</v>
      </c>
      <c r="M110" s="155">
        <f t="shared" si="18"/>
        <v>56527.41</v>
      </c>
      <c r="N110" s="151"/>
    </row>
    <row r="111" spans="2:14" ht="20.25">
      <c r="B111" s="153">
        <v>55</v>
      </c>
      <c r="C111" s="122" t="s">
        <v>253</v>
      </c>
      <c r="D111" s="122" t="s">
        <v>167</v>
      </c>
      <c r="E111" s="153" t="s">
        <v>37</v>
      </c>
      <c r="F111" s="153" t="s">
        <v>254</v>
      </c>
      <c r="G111" s="135">
        <v>24000</v>
      </c>
      <c r="H111" s="135">
        <v>688.8</v>
      </c>
      <c r="I111" s="135">
        <v>0</v>
      </c>
      <c r="J111" s="135">
        <v>729.6</v>
      </c>
      <c r="K111" s="135">
        <v>10593.46</v>
      </c>
      <c r="L111" s="135">
        <f t="shared" si="17"/>
        <v>12011.859999999999</v>
      </c>
      <c r="M111" s="155">
        <f t="shared" si="18"/>
        <v>11988.140000000001</v>
      </c>
      <c r="N111" s="151"/>
    </row>
    <row r="112" spans="2:14" ht="20.25">
      <c r="B112" s="153">
        <v>56</v>
      </c>
      <c r="C112" s="122" t="s">
        <v>255</v>
      </c>
      <c r="D112" s="122" t="s">
        <v>167</v>
      </c>
      <c r="E112" s="153" t="s">
        <v>37</v>
      </c>
      <c r="F112" s="153" t="s">
        <v>160</v>
      </c>
      <c r="G112" s="135">
        <v>22000</v>
      </c>
      <c r="H112" s="135">
        <v>631.4</v>
      </c>
      <c r="I112" s="135">
        <v>0</v>
      </c>
      <c r="J112" s="135">
        <v>668.8</v>
      </c>
      <c r="K112" s="135">
        <v>5658.5</v>
      </c>
      <c r="L112" s="135">
        <f t="shared" si="17"/>
        <v>6958.7</v>
      </c>
      <c r="M112" s="155">
        <f t="shared" si="18"/>
        <v>15041.3</v>
      </c>
      <c r="N112" s="151"/>
    </row>
    <row r="113" spans="2:14" ht="31.5">
      <c r="B113" s="153">
        <v>57</v>
      </c>
      <c r="C113" s="122" t="s">
        <v>256</v>
      </c>
      <c r="D113" s="122" t="s">
        <v>167</v>
      </c>
      <c r="E113" s="153" t="s">
        <v>37</v>
      </c>
      <c r="F113" s="153" t="s">
        <v>148</v>
      </c>
      <c r="G113" s="135">
        <v>22000</v>
      </c>
      <c r="H113" s="135">
        <v>631.4</v>
      </c>
      <c r="I113" s="135">
        <v>0</v>
      </c>
      <c r="J113" s="135">
        <v>668.8</v>
      </c>
      <c r="K113" s="135">
        <v>7250.14</v>
      </c>
      <c r="L113" s="135">
        <f t="shared" si="17"/>
        <v>8550.34</v>
      </c>
      <c r="M113" s="155">
        <f t="shared" si="18"/>
        <v>13449.66</v>
      </c>
      <c r="N113" s="151"/>
    </row>
    <row r="114" spans="2:14" ht="20.25">
      <c r="B114" s="153">
        <v>58</v>
      </c>
      <c r="C114" s="122" t="s">
        <v>257</v>
      </c>
      <c r="D114" s="122" t="s">
        <v>167</v>
      </c>
      <c r="E114" s="153" t="s">
        <v>37</v>
      </c>
      <c r="F114" s="153" t="s">
        <v>148</v>
      </c>
      <c r="G114" s="135">
        <v>22000</v>
      </c>
      <c r="H114" s="135">
        <v>631.4</v>
      </c>
      <c r="I114" s="135">
        <v>0</v>
      </c>
      <c r="J114" s="135">
        <v>668.8</v>
      </c>
      <c r="K114" s="135">
        <v>9873.6200000000008</v>
      </c>
      <c r="L114" s="135">
        <f>H114+I114+K114+J114</f>
        <v>11173.82</v>
      </c>
      <c r="M114" s="155">
        <f t="shared" si="18"/>
        <v>10826.18</v>
      </c>
      <c r="N114" s="151"/>
    </row>
    <row r="115" spans="2:14" ht="20.25">
      <c r="B115" s="153">
        <v>59</v>
      </c>
      <c r="C115" s="122" t="s">
        <v>258</v>
      </c>
      <c r="D115" s="122" t="s">
        <v>259</v>
      </c>
      <c r="E115" s="153" t="s">
        <v>37</v>
      </c>
      <c r="F115" s="153" t="s">
        <v>160</v>
      </c>
      <c r="G115" s="135">
        <v>22000</v>
      </c>
      <c r="H115" s="135">
        <v>631.4</v>
      </c>
      <c r="I115" s="135">
        <v>0</v>
      </c>
      <c r="J115" s="135">
        <v>668.8</v>
      </c>
      <c r="K115" s="135">
        <v>4845.45</v>
      </c>
      <c r="L115" s="135">
        <f>H115+I115+J115+K115</f>
        <v>6145.65</v>
      </c>
      <c r="M115" s="155">
        <f t="shared" si="18"/>
        <v>15854.35</v>
      </c>
      <c r="N115" s="151"/>
    </row>
    <row r="116" spans="2:14" ht="31.5">
      <c r="B116" s="153">
        <v>60</v>
      </c>
      <c r="C116" s="122" t="s">
        <v>260</v>
      </c>
      <c r="D116" s="122" t="s">
        <v>261</v>
      </c>
      <c r="E116" s="153" t="s">
        <v>36</v>
      </c>
      <c r="F116" s="153" t="s">
        <v>160</v>
      </c>
      <c r="G116" s="135">
        <v>40000</v>
      </c>
      <c r="H116" s="135">
        <v>1148</v>
      </c>
      <c r="I116" s="135">
        <v>442.65</v>
      </c>
      <c r="J116" s="135">
        <v>1216</v>
      </c>
      <c r="K116" s="135">
        <v>4992.97</v>
      </c>
      <c r="L116" s="135">
        <f>H116+I116+J116+K116</f>
        <v>7799.6200000000008</v>
      </c>
      <c r="M116" s="155">
        <f t="shared" si="18"/>
        <v>32200.379999999997</v>
      </c>
      <c r="N116" s="151"/>
    </row>
    <row r="117" spans="2:14" ht="31.5">
      <c r="B117" s="153">
        <v>61</v>
      </c>
      <c r="C117" s="122" t="s">
        <v>262</v>
      </c>
      <c r="D117" s="122" t="s">
        <v>263</v>
      </c>
      <c r="E117" s="153" t="s">
        <v>36</v>
      </c>
      <c r="F117" s="153" t="s">
        <v>160</v>
      </c>
      <c r="G117" s="135">
        <v>26000</v>
      </c>
      <c r="H117" s="135">
        <v>746.2</v>
      </c>
      <c r="I117" s="135">
        <v>0</v>
      </c>
      <c r="J117" s="135">
        <v>790.4</v>
      </c>
      <c r="K117" s="135">
        <v>225</v>
      </c>
      <c r="L117" s="135">
        <f>H117+I117+J117+K117</f>
        <v>1761.6</v>
      </c>
      <c r="M117" s="155">
        <f t="shared" si="18"/>
        <v>24238.400000000001</v>
      </c>
      <c r="N117" s="151"/>
    </row>
    <row r="118" spans="2:14" ht="20.25">
      <c r="B118" s="153">
        <v>62</v>
      </c>
      <c r="C118" s="122" t="s">
        <v>264</v>
      </c>
      <c r="D118" s="122" t="s">
        <v>167</v>
      </c>
      <c r="E118" s="153" t="s">
        <v>36</v>
      </c>
      <c r="F118" s="153" t="s">
        <v>160</v>
      </c>
      <c r="G118" s="135">
        <v>33500</v>
      </c>
      <c r="H118" s="135">
        <v>961.45</v>
      </c>
      <c r="I118" s="135">
        <v>0</v>
      </c>
      <c r="J118" s="135">
        <v>1018.4</v>
      </c>
      <c r="K118" s="135">
        <v>9411.39</v>
      </c>
      <c r="L118" s="135">
        <f>H118+I118+J118+K118</f>
        <v>11391.24</v>
      </c>
      <c r="M118" s="155">
        <f t="shared" si="18"/>
        <v>22108.760000000002</v>
      </c>
      <c r="N118" s="151"/>
    </row>
    <row r="119" spans="2:14" ht="20.25">
      <c r="B119" s="153">
        <v>63</v>
      </c>
      <c r="C119" s="122" t="s">
        <v>265</v>
      </c>
      <c r="D119" s="122" t="s">
        <v>167</v>
      </c>
      <c r="E119" s="153" t="s">
        <v>36</v>
      </c>
      <c r="F119" s="153" t="s">
        <v>160</v>
      </c>
      <c r="G119" s="135">
        <v>22000</v>
      </c>
      <c r="H119" s="135">
        <v>631.4</v>
      </c>
      <c r="I119" s="135">
        <v>0</v>
      </c>
      <c r="J119" s="135">
        <v>668.8</v>
      </c>
      <c r="K119" s="135">
        <v>1553.49</v>
      </c>
      <c r="L119" s="135">
        <f>H119+I119+J119+K119</f>
        <v>2853.6899999999996</v>
      </c>
      <c r="M119" s="155">
        <f t="shared" si="18"/>
        <v>19146.310000000001</v>
      </c>
      <c r="N119" s="151"/>
    </row>
    <row r="120" spans="2:14" ht="31.5">
      <c r="B120" s="153">
        <v>64</v>
      </c>
      <c r="C120" s="122" t="s">
        <v>266</v>
      </c>
      <c r="D120" s="122" t="s">
        <v>267</v>
      </c>
      <c r="E120" s="153" t="s">
        <v>36</v>
      </c>
      <c r="F120" s="153" t="s">
        <v>160</v>
      </c>
      <c r="G120" s="135">
        <v>22000</v>
      </c>
      <c r="H120" s="135">
        <v>631.4</v>
      </c>
      <c r="I120" s="135">
        <v>0</v>
      </c>
      <c r="J120" s="135">
        <v>668.8</v>
      </c>
      <c r="K120" s="135">
        <v>6223.2</v>
      </c>
      <c r="L120" s="135">
        <f>H120+I120+K120+J120</f>
        <v>7523.4</v>
      </c>
      <c r="M120" s="155">
        <f t="shared" si="18"/>
        <v>14476.6</v>
      </c>
      <c r="N120" s="151"/>
    </row>
    <row r="121" spans="2:14" ht="31.5">
      <c r="B121" s="153">
        <v>65</v>
      </c>
      <c r="C121" s="122" t="s">
        <v>268</v>
      </c>
      <c r="D121" s="122" t="s">
        <v>269</v>
      </c>
      <c r="E121" s="153" t="s">
        <v>36</v>
      </c>
      <c r="F121" s="153" t="s">
        <v>160</v>
      </c>
      <c r="G121" s="135">
        <v>24000</v>
      </c>
      <c r="H121" s="135">
        <v>688.8</v>
      </c>
      <c r="I121" s="135">
        <v>0</v>
      </c>
      <c r="J121" s="135">
        <v>729.6</v>
      </c>
      <c r="K121" s="135">
        <v>8335.59</v>
      </c>
      <c r="L121" s="135">
        <f t="shared" ref="L121:L126" si="19">H121+I121+J121+K121</f>
        <v>9753.99</v>
      </c>
      <c r="M121" s="155">
        <f t="shared" si="18"/>
        <v>14246.01</v>
      </c>
      <c r="N121" s="151"/>
    </row>
    <row r="122" spans="2:14" ht="31.5">
      <c r="B122" s="153">
        <v>66</v>
      </c>
      <c r="C122" s="122" t="s">
        <v>270</v>
      </c>
      <c r="D122" s="122" t="s">
        <v>269</v>
      </c>
      <c r="E122" s="153" t="s">
        <v>36</v>
      </c>
      <c r="F122" s="153" t="s">
        <v>160</v>
      </c>
      <c r="G122" s="135">
        <v>24000</v>
      </c>
      <c r="H122" s="135">
        <v>688.8</v>
      </c>
      <c r="I122" s="135">
        <v>0</v>
      </c>
      <c r="J122" s="135">
        <v>729.6</v>
      </c>
      <c r="K122" s="135">
        <v>14003.39</v>
      </c>
      <c r="L122" s="135">
        <f t="shared" si="19"/>
        <v>15421.789999999999</v>
      </c>
      <c r="M122" s="155">
        <f t="shared" si="18"/>
        <v>8578.2100000000009</v>
      </c>
      <c r="N122" s="151"/>
    </row>
    <row r="123" spans="2:14" ht="20.25">
      <c r="B123" s="153">
        <v>67</v>
      </c>
      <c r="C123" s="122" t="s">
        <v>271</v>
      </c>
      <c r="D123" s="122" t="s">
        <v>167</v>
      </c>
      <c r="E123" s="153" t="s">
        <v>37</v>
      </c>
      <c r="F123" s="153" t="s">
        <v>160</v>
      </c>
      <c r="G123" s="135">
        <v>18000</v>
      </c>
      <c r="H123" s="135">
        <v>516.6</v>
      </c>
      <c r="I123" s="135">
        <v>0</v>
      </c>
      <c r="J123" s="135">
        <v>547.20000000000005</v>
      </c>
      <c r="K123" s="135">
        <v>2225</v>
      </c>
      <c r="L123" s="135">
        <f t="shared" si="19"/>
        <v>3288.8</v>
      </c>
      <c r="M123" s="155">
        <f t="shared" si="18"/>
        <v>14711.2</v>
      </c>
      <c r="N123" s="151"/>
    </row>
    <row r="124" spans="2:14" ht="20.25">
      <c r="B124" s="153">
        <v>68</v>
      </c>
      <c r="C124" s="122" t="s">
        <v>272</v>
      </c>
      <c r="D124" s="122" t="s">
        <v>237</v>
      </c>
      <c r="E124" s="153" t="s">
        <v>36</v>
      </c>
      <c r="F124" s="153" t="s">
        <v>160</v>
      </c>
      <c r="G124" s="135">
        <v>26000</v>
      </c>
      <c r="H124" s="135">
        <v>746.2</v>
      </c>
      <c r="I124" s="135">
        <v>0</v>
      </c>
      <c r="J124" s="135">
        <v>790.4</v>
      </c>
      <c r="K124" s="135">
        <v>5353.35</v>
      </c>
      <c r="L124" s="135">
        <f t="shared" si="19"/>
        <v>6889.9500000000007</v>
      </c>
      <c r="M124" s="155">
        <f t="shared" si="18"/>
        <v>19110.05</v>
      </c>
      <c r="N124" s="151"/>
    </row>
    <row r="125" spans="2:14" ht="20.25">
      <c r="B125" s="153">
        <v>69</v>
      </c>
      <c r="C125" s="122" t="s">
        <v>273</v>
      </c>
      <c r="D125" s="122" t="s">
        <v>237</v>
      </c>
      <c r="E125" s="153" t="s">
        <v>36</v>
      </c>
      <c r="F125" s="153" t="s">
        <v>160</v>
      </c>
      <c r="G125" s="135">
        <v>26000</v>
      </c>
      <c r="H125" s="135">
        <v>746.2</v>
      </c>
      <c r="I125" s="135">
        <v>0</v>
      </c>
      <c r="J125" s="135">
        <v>790.4</v>
      </c>
      <c r="K125" s="135">
        <v>3495.4</v>
      </c>
      <c r="L125" s="135">
        <f t="shared" si="19"/>
        <v>5032</v>
      </c>
      <c r="M125" s="155">
        <f t="shared" si="18"/>
        <v>20968</v>
      </c>
      <c r="N125" s="151"/>
    </row>
    <row r="126" spans="2:14" ht="20.25">
      <c r="B126" s="153">
        <v>70</v>
      </c>
      <c r="C126" s="122" t="s">
        <v>274</v>
      </c>
      <c r="D126" s="122" t="s">
        <v>237</v>
      </c>
      <c r="E126" s="153" t="s">
        <v>36</v>
      </c>
      <c r="F126" s="153" t="s">
        <v>160</v>
      </c>
      <c r="G126" s="135">
        <v>22000</v>
      </c>
      <c r="H126" s="135">
        <v>631.4</v>
      </c>
      <c r="I126" s="135">
        <v>0</v>
      </c>
      <c r="J126" s="135">
        <v>668.8</v>
      </c>
      <c r="K126" s="135">
        <v>4058.6</v>
      </c>
      <c r="L126" s="135">
        <f t="shared" si="19"/>
        <v>5358.7999999999993</v>
      </c>
      <c r="M126" s="155">
        <f t="shared" si="18"/>
        <v>16641.2</v>
      </c>
      <c r="N126" s="151"/>
    </row>
    <row r="127" spans="2:14" ht="20.25">
      <c r="B127" s="124" t="s">
        <v>49</v>
      </c>
      <c r="C127" s="125"/>
      <c r="D127" s="125"/>
      <c r="E127" s="136"/>
      <c r="F127" s="124"/>
      <c r="G127" s="145">
        <f t="shared" ref="G127:M127" si="20">SUM(G108:G126)</f>
        <v>517500</v>
      </c>
      <c r="H127" s="145">
        <f t="shared" si="20"/>
        <v>14852.249999999998</v>
      </c>
      <c r="I127" s="145">
        <f t="shared" si="20"/>
        <v>6752</v>
      </c>
      <c r="J127" s="145">
        <f t="shared" si="20"/>
        <v>15732</v>
      </c>
      <c r="K127" s="145">
        <f>SUM(K108:K126)</f>
        <v>109584.75</v>
      </c>
      <c r="L127" s="145">
        <f t="shared" si="20"/>
        <v>146921</v>
      </c>
      <c r="M127" s="126">
        <f t="shared" si="20"/>
        <v>370579.00000000006</v>
      </c>
      <c r="N127" s="151"/>
    </row>
    <row r="128" spans="2:14" ht="25.5">
      <c r="B128" s="214" t="s">
        <v>275</v>
      </c>
      <c r="C128" s="214" t="s">
        <v>198</v>
      </c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151"/>
    </row>
    <row r="129" spans="2:14" ht="20.25">
      <c r="B129" s="113" t="s">
        <v>0</v>
      </c>
      <c r="C129" s="114" t="s">
        <v>1</v>
      </c>
      <c r="D129" s="114" t="s">
        <v>2</v>
      </c>
      <c r="E129" s="113" t="s">
        <v>35</v>
      </c>
      <c r="F129" s="114" t="s">
        <v>3</v>
      </c>
      <c r="G129" s="113" t="s">
        <v>54</v>
      </c>
      <c r="H129" s="113" t="s">
        <v>4</v>
      </c>
      <c r="I129" s="113" t="s">
        <v>6</v>
      </c>
      <c r="J129" s="113" t="s">
        <v>5</v>
      </c>
      <c r="K129" s="113" t="s">
        <v>57</v>
      </c>
      <c r="L129" s="113" t="s">
        <v>56</v>
      </c>
      <c r="M129" s="113" t="s">
        <v>55</v>
      </c>
      <c r="N129" s="151"/>
    </row>
    <row r="130" spans="2:14" ht="20.25">
      <c r="B130" s="117">
        <v>71</v>
      </c>
      <c r="C130" s="116" t="s">
        <v>276</v>
      </c>
      <c r="D130" s="116" t="s">
        <v>9</v>
      </c>
      <c r="E130" s="117" t="s">
        <v>36</v>
      </c>
      <c r="F130" s="117" t="s">
        <v>160</v>
      </c>
      <c r="G130" s="138">
        <f>37000+3000</f>
        <v>40000</v>
      </c>
      <c r="H130" s="138">
        <f>1061.9+86.1</f>
        <v>1148</v>
      </c>
      <c r="I130" s="150">
        <f>423.41+19.24</f>
        <v>442.65000000000003</v>
      </c>
      <c r="J130" s="119">
        <f>1124.8+91.2</f>
        <v>1216</v>
      </c>
      <c r="K130" s="138">
        <v>15056.3</v>
      </c>
      <c r="L130" s="138">
        <f>H130+I130+J130+K130</f>
        <v>17862.95</v>
      </c>
      <c r="M130" s="138">
        <f>+G130-L130</f>
        <v>22137.05</v>
      </c>
      <c r="N130" s="151"/>
    </row>
    <row r="131" spans="2:14" ht="20.25">
      <c r="B131" s="124" t="s">
        <v>49</v>
      </c>
      <c r="C131" s="137"/>
      <c r="D131" s="137"/>
      <c r="E131" s="136"/>
      <c r="F131" s="124"/>
      <c r="G131" s="126">
        <f t="shared" ref="G131:M131" si="21">+SUM(G130)</f>
        <v>40000</v>
      </c>
      <c r="H131" s="126">
        <f t="shared" si="21"/>
        <v>1148</v>
      </c>
      <c r="I131" s="126">
        <f t="shared" si="21"/>
        <v>442.65000000000003</v>
      </c>
      <c r="J131" s="126">
        <f t="shared" si="21"/>
        <v>1216</v>
      </c>
      <c r="K131" s="126">
        <f t="shared" si="21"/>
        <v>15056.3</v>
      </c>
      <c r="L131" s="126">
        <f t="shared" si="21"/>
        <v>17862.95</v>
      </c>
      <c r="M131" s="126">
        <f t="shared" si="21"/>
        <v>22137.05</v>
      </c>
      <c r="N131" s="151"/>
    </row>
    <row r="132" spans="2:14" ht="25.5">
      <c r="B132" s="214" t="s">
        <v>277</v>
      </c>
      <c r="C132" s="214" t="s">
        <v>198</v>
      </c>
      <c r="D132" s="214"/>
      <c r="E132" s="214"/>
      <c r="F132" s="214"/>
      <c r="G132" s="214"/>
      <c r="H132" s="214"/>
      <c r="I132" s="214"/>
      <c r="J132" s="214"/>
      <c r="K132" s="214"/>
      <c r="L132" s="214"/>
      <c r="M132" s="214"/>
      <c r="N132" s="151"/>
    </row>
    <row r="133" spans="2:14" ht="20.25">
      <c r="B133" s="156" t="s">
        <v>0</v>
      </c>
      <c r="C133" s="157" t="s">
        <v>1</v>
      </c>
      <c r="D133" s="157" t="s">
        <v>2</v>
      </c>
      <c r="E133" s="156" t="s">
        <v>35</v>
      </c>
      <c r="F133" s="157" t="s">
        <v>3</v>
      </c>
      <c r="G133" s="156" t="s">
        <v>54</v>
      </c>
      <c r="H133" s="156" t="s">
        <v>4</v>
      </c>
      <c r="I133" s="156" t="s">
        <v>6</v>
      </c>
      <c r="J133" s="156" t="s">
        <v>5</v>
      </c>
      <c r="K133" s="156" t="s">
        <v>57</v>
      </c>
      <c r="L133" s="156" t="s">
        <v>56</v>
      </c>
      <c r="M133" s="156" t="s">
        <v>55</v>
      </c>
      <c r="N133" s="151"/>
    </row>
    <row r="134" spans="2:14" ht="20.25">
      <c r="B134" s="115">
        <v>72</v>
      </c>
      <c r="C134" s="158" t="s">
        <v>278</v>
      </c>
      <c r="D134" s="116" t="s">
        <v>201</v>
      </c>
      <c r="E134" s="133" t="s">
        <v>37</v>
      </c>
      <c r="F134" s="117" t="s">
        <v>160</v>
      </c>
      <c r="G134" s="138">
        <v>33500</v>
      </c>
      <c r="H134" s="118">
        <v>961.45</v>
      </c>
      <c r="I134" s="150">
        <v>0</v>
      </c>
      <c r="J134" s="119">
        <v>1018.4</v>
      </c>
      <c r="K134" s="138">
        <v>7755.58</v>
      </c>
      <c r="L134" s="138">
        <f>H134+I134+J134+K134</f>
        <v>9735.43</v>
      </c>
      <c r="M134" s="118">
        <f>G134-L134</f>
        <v>23764.57</v>
      </c>
      <c r="N134" s="151"/>
    </row>
    <row r="135" spans="2:14" ht="20.25">
      <c r="B135" s="115">
        <v>73</v>
      </c>
      <c r="C135" s="152" t="s">
        <v>279</v>
      </c>
      <c r="D135" s="152" t="s">
        <v>241</v>
      </c>
      <c r="E135" s="117" t="s">
        <v>37</v>
      </c>
      <c r="F135" s="117" t="s">
        <v>160</v>
      </c>
      <c r="G135" s="138">
        <v>33500</v>
      </c>
      <c r="H135" s="118">
        <v>961.45</v>
      </c>
      <c r="I135" s="150">
        <v>0</v>
      </c>
      <c r="J135" s="119">
        <v>1018.4</v>
      </c>
      <c r="K135" s="138">
        <v>739.5</v>
      </c>
      <c r="L135" s="138">
        <f>SUM(H135:K135)</f>
        <v>2719.35</v>
      </c>
      <c r="M135" s="118">
        <f>G135-L135</f>
        <v>30780.65</v>
      </c>
      <c r="N135" s="151"/>
    </row>
    <row r="136" spans="2:14" ht="20.25">
      <c r="B136" s="115">
        <v>74</v>
      </c>
      <c r="C136" s="116" t="s">
        <v>280</v>
      </c>
      <c r="D136" s="116" t="s">
        <v>281</v>
      </c>
      <c r="E136" s="117" t="s">
        <v>37</v>
      </c>
      <c r="F136" s="117" t="s">
        <v>160</v>
      </c>
      <c r="G136" s="118">
        <v>37000</v>
      </c>
      <c r="H136" s="118">
        <v>1061.9000000000001</v>
      </c>
      <c r="I136" s="118">
        <v>19.239999999999998</v>
      </c>
      <c r="J136" s="118">
        <v>1124.8</v>
      </c>
      <c r="K136" s="118">
        <v>25</v>
      </c>
      <c r="L136" s="118">
        <f>K136+J136+I136+H136</f>
        <v>2230.94</v>
      </c>
      <c r="M136" s="138">
        <f>G136-L136</f>
        <v>34769.06</v>
      </c>
      <c r="N136" s="151"/>
    </row>
    <row r="137" spans="2:14" ht="20.25">
      <c r="B137" s="124" t="s">
        <v>49</v>
      </c>
      <c r="C137" s="152"/>
      <c r="D137" s="152"/>
      <c r="E137" s="117"/>
      <c r="F137" s="117"/>
      <c r="G137" s="141">
        <f>SUM(G134:G136)</f>
        <v>104000</v>
      </c>
      <c r="H137" s="159">
        <f t="shared" ref="H137:M137" si="22">SUM(H134:H136)</f>
        <v>2984.8</v>
      </c>
      <c r="I137" s="126">
        <f t="shared" si="22"/>
        <v>19.239999999999998</v>
      </c>
      <c r="J137" s="141">
        <f t="shared" si="22"/>
        <v>3161.6</v>
      </c>
      <c r="K137" s="141">
        <f t="shared" si="22"/>
        <v>8520.08</v>
      </c>
      <c r="L137" s="141">
        <f t="shared" si="22"/>
        <v>14685.720000000001</v>
      </c>
      <c r="M137" s="141">
        <f t="shared" si="22"/>
        <v>89314.28</v>
      </c>
      <c r="N137" s="151"/>
    </row>
    <row r="138" spans="2:14" ht="37.5">
      <c r="B138" s="157" t="s">
        <v>143</v>
      </c>
      <c r="C138" s="157" t="s">
        <v>282</v>
      </c>
      <c r="D138" s="157" t="s">
        <v>40</v>
      </c>
      <c r="E138" s="157" t="s">
        <v>283</v>
      </c>
      <c r="F138" s="157" t="s">
        <v>42</v>
      </c>
      <c r="G138" s="157" t="s">
        <v>284</v>
      </c>
      <c r="H138" s="157" t="s">
        <v>285</v>
      </c>
      <c r="I138" s="157" t="s">
        <v>21</v>
      </c>
      <c r="J138" s="157" t="s">
        <v>286</v>
      </c>
      <c r="K138" s="157" t="s">
        <v>287</v>
      </c>
      <c r="L138" s="157"/>
      <c r="M138" s="157"/>
      <c r="N138" s="151"/>
    </row>
    <row r="139" spans="2:14" ht="25.5">
      <c r="B139" s="214" t="s">
        <v>288</v>
      </c>
      <c r="C139" s="214"/>
      <c r="D139" s="214"/>
      <c r="E139" s="214"/>
      <c r="F139" s="214"/>
      <c r="G139" s="214"/>
      <c r="H139" s="214"/>
      <c r="I139" s="214"/>
      <c r="J139" s="214"/>
      <c r="K139" s="214"/>
      <c r="L139" s="214"/>
      <c r="M139" s="214"/>
      <c r="N139" s="151"/>
    </row>
    <row r="140" spans="2:14" ht="20.25">
      <c r="B140" s="113" t="s">
        <v>0</v>
      </c>
      <c r="C140" s="114" t="s">
        <v>1</v>
      </c>
      <c r="D140" s="114" t="s">
        <v>2</v>
      </c>
      <c r="E140" s="113" t="s">
        <v>35</v>
      </c>
      <c r="F140" s="114" t="s">
        <v>3</v>
      </c>
      <c r="G140" s="113" t="s">
        <v>54</v>
      </c>
      <c r="H140" s="113" t="s">
        <v>4</v>
      </c>
      <c r="I140" s="113" t="s">
        <v>6</v>
      </c>
      <c r="J140" s="113" t="s">
        <v>5</v>
      </c>
      <c r="K140" s="113" t="s">
        <v>57</v>
      </c>
      <c r="L140" s="113" t="s">
        <v>56</v>
      </c>
      <c r="M140" s="113" t="s">
        <v>55</v>
      </c>
      <c r="N140" s="151"/>
    </row>
    <row r="141" spans="2:14" ht="31.5">
      <c r="B141" s="115">
        <v>75</v>
      </c>
      <c r="C141" s="116" t="s">
        <v>289</v>
      </c>
      <c r="D141" s="116" t="s">
        <v>290</v>
      </c>
      <c r="E141" s="117" t="s">
        <v>37</v>
      </c>
      <c r="F141" s="117" t="s">
        <v>148</v>
      </c>
      <c r="G141" s="118">
        <v>122500</v>
      </c>
      <c r="H141" s="118">
        <v>3515.75</v>
      </c>
      <c r="I141" s="118">
        <v>17398</v>
      </c>
      <c r="J141" s="118">
        <v>3724</v>
      </c>
      <c r="K141" s="118">
        <v>5242.04</v>
      </c>
      <c r="L141" s="118">
        <f>K141+J141+I141+H141</f>
        <v>29879.79</v>
      </c>
      <c r="M141" s="118">
        <f>G141-L141</f>
        <v>92620.209999999992</v>
      </c>
      <c r="N141" s="151"/>
    </row>
    <row r="142" spans="2:14" ht="31.5">
      <c r="B142" s="115">
        <v>76</v>
      </c>
      <c r="C142" s="116" t="s">
        <v>291</v>
      </c>
      <c r="D142" s="116" t="s">
        <v>59</v>
      </c>
      <c r="E142" s="117" t="s">
        <v>37</v>
      </c>
      <c r="F142" s="117" t="s">
        <v>148</v>
      </c>
      <c r="G142" s="118">
        <v>60000</v>
      </c>
      <c r="H142" s="118">
        <v>1722</v>
      </c>
      <c r="I142" s="118">
        <v>3486.65</v>
      </c>
      <c r="J142" s="118">
        <v>1824</v>
      </c>
      <c r="K142" s="118">
        <v>1525</v>
      </c>
      <c r="L142" s="118">
        <f>K142+J142+I142+H142</f>
        <v>8557.65</v>
      </c>
      <c r="M142" s="118">
        <f>G142-L142</f>
        <v>51442.35</v>
      </c>
      <c r="N142" s="151"/>
    </row>
    <row r="143" spans="2:14" ht="31.5">
      <c r="B143" s="115">
        <v>77</v>
      </c>
      <c r="C143" s="116" t="s">
        <v>292</v>
      </c>
      <c r="D143" s="116" t="s">
        <v>293</v>
      </c>
      <c r="E143" s="117" t="s">
        <v>37</v>
      </c>
      <c r="F143" s="117" t="s">
        <v>148</v>
      </c>
      <c r="G143" s="118">
        <v>60000</v>
      </c>
      <c r="H143" s="118">
        <v>1722</v>
      </c>
      <c r="I143" s="118">
        <v>3486.65</v>
      </c>
      <c r="J143" s="118">
        <v>1824</v>
      </c>
      <c r="K143" s="118">
        <v>6834.12</v>
      </c>
      <c r="L143" s="118">
        <f>K143+J143+I143+H143</f>
        <v>13866.769999999999</v>
      </c>
      <c r="M143" s="118">
        <f>G143-L143</f>
        <v>46133.23</v>
      </c>
      <c r="N143" s="151"/>
    </row>
    <row r="144" spans="2:14" ht="20.25">
      <c r="B144" s="115">
        <v>78</v>
      </c>
      <c r="C144" s="116" t="s">
        <v>294</v>
      </c>
      <c r="D144" s="116" t="s">
        <v>201</v>
      </c>
      <c r="E144" s="117" t="s">
        <v>37</v>
      </c>
      <c r="F144" s="117" t="s">
        <v>160</v>
      </c>
      <c r="G144" s="118">
        <v>35000</v>
      </c>
      <c r="H144" s="118">
        <v>1004.5</v>
      </c>
      <c r="I144" s="118">
        <v>0</v>
      </c>
      <c r="J144" s="118">
        <v>1064</v>
      </c>
      <c r="K144" s="118">
        <v>7801.12</v>
      </c>
      <c r="L144" s="118">
        <f>K144+J144+I144+H144</f>
        <v>9869.619999999999</v>
      </c>
      <c r="M144" s="118">
        <f>G144-L144</f>
        <v>25130.38</v>
      </c>
      <c r="N144" s="151"/>
    </row>
    <row r="145" spans="2:14" ht="20.25">
      <c r="B145" s="115">
        <v>79</v>
      </c>
      <c r="C145" s="116" t="s">
        <v>295</v>
      </c>
      <c r="D145" s="116" t="s">
        <v>296</v>
      </c>
      <c r="E145" s="117" t="s">
        <v>36</v>
      </c>
      <c r="F145" s="117" t="s">
        <v>160</v>
      </c>
      <c r="G145" s="138">
        <f>37000+7000</f>
        <v>44000</v>
      </c>
      <c r="H145" s="118">
        <f>200.9+1061.9</f>
        <v>1262.8000000000002</v>
      </c>
      <c r="I145" s="138">
        <f>19.24+987.95</f>
        <v>1007.19</v>
      </c>
      <c r="J145" s="118">
        <f>212.8+1124.8</f>
        <v>1337.6</v>
      </c>
      <c r="K145" s="138">
        <v>4501.3100000000004</v>
      </c>
      <c r="L145" s="138">
        <f>H145+I145+J145+K145</f>
        <v>8108.9000000000005</v>
      </c>
      <c r="M145" s="119">
        <f>G145-L145</f>
        <v>35891.1</v>
      </c>
      <c r="N145" s="151"/>
    </row>
    <row r="146" spans="2:14" ht="20.25">
      <c r="B146" s="124" t="s">
        <v>49</v>
      </c>
      <c r="C146" s="137"/>
      <c r="D146" s="137"/>
      <c r="E146" s="136"/>
      <c r="F146" s="124"/>
      <c r="G146" s="126">
        <f t="shared" ref="G146:M146" si="23">SUM(G141:G145)</f>
        <v>321500</v>
      </c>
      <c r="H146" s="126">
        <f t="shared" si="23"/>
        <v>9227.0499999999993</v>
      </c>
      <c r="I146" s="126">
        <f t="shared" si="23"/>
        <v>25378.49</v>
      </c>
      <c r="J146" s="126">
        <f t="shared" si="23"/>
        <v>9773.6</v>
      </c>
      <c r="K146" s="126">
        <f t="shared" si="23"/>
        <v>25903.59</v>
      </c>
      <c r="L146" s="126">
        <f t="shared" si="23"/>
        <v>70282.73</v>
      </c>
      <c r="M146" s="126">
        <f t="shared" si="23"/>
        <v>251217.27000000002</v>
      </c>
      <c r="N146" s="151"/>
    </row>
    <row r="147" spans="2:14" ht="25.5">
      <c r="B147" s="214" t="s">
        <v>297</v>
      </c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151"/>
    </row>
    <row r="148" spans="2:14" ht="20.25">
      <c r="B148" s="113" t="s">
        <v>0</v>
      </c>
      <c r="C148" s="114" t="s">
        <v>1</v>
      </c>
      <c r="D148" s="114" t="s">
        <v>2</v>
      </c>
      <c r="E148" s="113" t="s">
        <v>35</v>
      </c>
      <c r="F148" s="114" t="s">
        <v>3</v>
      </c>
      <c r="G148" s="113" t="s">
        <v>54</v>
      </c>
      <c r="H148" s="113" t="s">
        <v>4</v>
      </c>
      <c r="I148" s="113" t="s">
        <v>6</v>
      </c>
      <c r="J148" s="113" t="s">
        <v>5</v>
      </c>
      <c r="K148" s="113" t="s">
        <v>57</v>
      </c>
      <c r="L148" s="113" t="s">
        <v>56</v>
      </c>
      <c r="M148" s="113" t="s">
        <v>55</v>
      </c>
      <c r="N148" s="151"/>
    </row>
    <row r="149" spans="2:14" ht="31.5">
      <c r="B149" s="115">
        <v>80</v>
      </c>
      <c r="C149" s="116" t="s">
        <v>298</v>
      </c>
      <c r="D149" s="116" t="s">
        <v>281</v>
      </c>
      <c r="E149" s="117" t="s">
        <v>36</v>
      </c>
      <c r="F149" s="117" t="s">
        <v>160</v>
      </c>
      <c r="G149" s="118">
        <f>35000+13000</f>
        <v>48000</v>
      </c>
      <c r="H149" s="118">
        <f>1004.5+373.1</f>
        <v>1377.6</v>
      </c>
      <c r="I149" s="118">
        <v>0</v>
      </c>
      <c r="J149" s="118">
        <f>395.2+1064</f>
        <v>1459.2</v>
      </c>
      <c r="K149" s="118">
        <v>4164.5600000000004</v>
      </c>
      <c r="L149" s="118">
        <f>SUM(H149:K149)</f>
        <v>7001.3600000000006</v>
      </c>
      <c r="M149" s="140">
        <f>G149-L149</f>
        <v>40998.639999999999</v>
      </c>
      <c r="N149" s="151"/>
    </row>
    <row r="150" spans="2:14" ht="31.5">
      <c r="B150" s="115">
        <v>81</v>
      </c>
      <c r="C150" s="116" t="s">
        <v>299</v>
      </c>
      <c r="D150" s="116" t="s">
        <v>217</v>
      </c>
      <c r="E150" s="117" t="s">
        <v>36</v>
      </c>
      <c r="F150" s="117" t="s">
        <v>160</v>
      </c>
      <c r="G150" s="118">
        <v>33500</v>
      </c>
      <c r="H150" s="118">
        <v>961.45</v>
      </c>
      <c r="I150" s="118">
        <v>0</v>
      </c>
      <c r="J150" s="118">
        <v>1018.4</v>
      </c>
      <c r="K150" s="118">
        <v>25</v>
      </c>
      <c r="L150" s="138">
        <f>H150+I150+J150+K150</f>
        <v>2004.85</v>
      </c>
      <c r="M150" s="118">
        <f t="shared" ref="M150:M153" si="24">G150-L150</f>
        <v>31495.15</v>
      </c>
      <c r="N150" s="151"/>
    </row>
    <row r="151" spans="2:14" ht="20.25">
      <c r="B151" s="115">
        <v>82</v>
      </c>
      <c r="C151" s="116" t="s">
        <v>300</v>
      </c>
      <c r="D151" s="116" t="s">
        <v>23</v>
      </c>
      <c r="E151" s="117" t="s">
        <v>37</v>
      </c>
      <c r="F151" s="117" t="s">
        <v>148</v>
      </c>
      <c r="G151" s="138">
        <v>60000</v>
      </c>
      <c r="H151" s="118">
        <v>1722</v>
      </c>
      <c r="I151" s="118">
        <v>0</v>
      </c>
      <c r="J151" s="118">
        <v>1824</v>
      </c>
      <c r="K151" s="138">
        <v>10715.26</v>
      </c>
      <c r="L151" s="138">
        <f>H151+I151+J151+K151</f>
        <v>14261.26</v>
      </c>
      <c r="M151" s="118">
        <f t="shared" si="24"/>
        <v>45738.74</v>
      </c>
      <c r="N151" s="151"/>
    </row>
    <row r="152" spans="2:14" ht="31.5">
      <c r="B152" s="115">
        <v>83</v>
      </c>
      <c r="C152" s="116" t="s">
        <v>301</v>
      </c>
      <c r="D152" s="116" t="s">
        <v>302</v>
      </c>
      <c r="E152" s="117" t="s">
        <v>37</v>
      </c>
      <c r="F152" s="117" t="s">
        <v>148</v>
      </c>
      <c r="G152" s="118">
        <f>73000+49500</f>
        <v>122500</v>
      </c>
      <c r="H152" s="118">
        <f>2095.1+1420.65</f>
        <v>3515.75</v>
      </c>
      <c r="I152" s="118">
        <f>5932.99+11465.01</f>
        <v>17398</v>
      </c>
      <c r="J152" s="118">
        <f>2219.2+1504.8</f>
        <v>3724</v>
      </c>
      <c r="K152" s="118">
        <v>44073.71</v>
      </c>
      <c r="L152" s="138">
        <f>SUM(H152:K152)</f>
        <v>68711.459999999992</v>
      </c>
      <c r="M152" s="118">
        <f>G152-L152</f>
        <v>53788.540000000008</v>
      </c>
      <c r="N152" s="151"/>
    </row>
    <row r="153" spans="2:14" ht="31.5">
      <c r="B153" s="115">
        <v>84</v>
      </c>
      <c r="C153" s="160" t="s">
        <v>303</v>
      </c>
      <c r="D153" s="129" t="s">
        <v>217</v>
      </c>
      <c r="E153" s="130" t="s">
        <v>37</v>
      </c>
      <c r="F153" s="117" t="s">
        <v>160</v>
      </c>
      <c r="G153" s="118">
        <v>35000</v>
      </c>
      <c r="H153" s="118">
        <v>1004.5</v>
      </c>
      <c r="I153" s="118">
        <v>0</v>
      </c>
      <c r="J153" s="118">
        <v>1064</v>
      </c>
      <c r="K153" s="118">
        <v>4915.3500000000004</v>
      </c>
      <c r="L153" s="138">
        <f>K153+J153+I153+H153</f>
        <v>6983.85</v>
      </c>
      <c r="M153" s="118">
        <f t="shared" si="24"/>
        <v>28016.15</v>
      </c>
      <c r="N153" s="151"/>
    </row>
    <row r="154" spans="2:14" ht="20.25">
      <c r="B154" s="124" t="s">
        <v>49</v>
      </c>
      <c r="C154" s="129"/>
      <c r="D154" s="129"/>
      <c r="E154" s="130"/>
      <c r="F154" s="131"/>
      <c r="G154" s="126">
        <f t="shared" ref="G154:M154" si="25">SUM(G149:G153)</f>
        <v>299000</v>
      </c>
      <c r="H154" s="126">
        <f t="shared" si="25"/>
        <v>8581.2999999999993</v>
      </c>
      <c r="I154" s="126">
        <f t="shared" si="25"/>
        <v>17398</v>
      </c>
      <c r="J154" s="126">
        <f t="shared" si="25"/>
        <v>9089.6</v>
      </c>
      <c r="K154" s="126">
        <f t="shared" si="25"/>
        <v>63893.88</v>
      </c>
      <c r="L154" s="126">
        <f t="shared" si="25"/>
        <v>98962.78</v>
      </c>
      <c r="M154" s="126">
        <f t="shared" si="25"/>
        <v>200037.22</v>
      </c>
      <c r="N154" s="151"/>
    </row>
    <row r="155" spans="2:14" ht="25.5">
      <c r="B155" s="214" t="s">
        <v>304</v>
      </c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151"/>
    </row>
    <row r="156" spans="2:14" ht="20.25">
      <c r="B156" s="113" t="s">
        <v>0</v>
      </c>
      <c r="C156" s="114" t="s">
        <v>1</v>
      </c>
      <c r="D156" s="114" t="s">
        <v>2</v>
      </c>
      <c r="E156" s="113" t="s">
        <v>35</v>
      </c>
      <c r="F156" s="114" t="s">
        <v>3</v>
      </c>
      <c r="G156" s="113" t="s">
        <v>54</v>
      </c>
      <c r="H156" s="113" t="s">
        <v>4</v>
      </c>
      <c r="I156" s="113" t="s">
        <v>6</v>
      </c>
      <c r="J156" s="113" t="s">
        <v>5</v>
      </c>
      <c r="K156" s="113" t="s">
        <v>57</v>
      </c>
      <c r="L156" s="113" t="s">
        <v>56</v>
      </c>
      <c r="M156" s="113" t="s">
        <v>55</v>
      </c>
      <c r="N156" s="151"/>
    </row>
    <row r="157" spans="2:14" ht="31.5">
      <c r="B157" s="117">
        <v>85</v>
      </c>
      <c r="C157" s="121" t="s">
        <v>305</v>
      </c>
      <c r="D157" s="121" t="s">
        <v>306</v>
      </c>
      <c r="E157" s="117" t="s">
        <v>37</v>
      </c>
      <c r="F157" s="120" t="s">
        <v>148</v>
      </c>
      <c r="G157" s="118">
        <v>60000</v>
      </c>
      <c r="H157" s="118">
        <f>G157*0.0287</f>
        <v>1722</v>
      </c>
      <c r="I157" s="118">
        <v>3102.69</v>
      </c>
      <c r="J157" s="118">
        <f>IF(G157&lt;75829.93,G157*0.0304,2305.23)</f>
        <v>1824</v>
      </c>
      <c r="K157" s="118">
        <v>3504.78</v>
      </c>
      <c r="L157" s="118">
        <f>H157+I157+J157+K157</f>
        <v>10153.470000000001</v>
      </c>
      <c r="M157" s="118">
        <f>+G157-L157</f>
        <v>49846.53</v>
      </c>
      <c r="N157" s="151"/>
    </row>
    <row r="158" spans="2:14" ht="31.5">
      <c r="B158" s="117">
        <v>86</v>
      </c>
      <c r="C158" s="116" t="s">
        <v>307</v>
      </c>
      <c r="D158" s="116" t="s">
        <v>308</v>
      </c>
      <c r="E158" s="117" t="s">
        <v>37</v>
      </c>
      <c r="F158" s="117" t="s">
        <v>148</v>
      </c>
      <c r="G158" s="138">
        <v>65000</v>
      </c>
      <c r="H158" s="138">
        <f>G158*0.0287</f>
        <v>1865.5</v>
      </c>
      <c r="I158" s="118">
        <v>4427.55</v>
      </c>
      <c r="J158" s="138">
        <v>1976</v>
      </c>
      <c r="K158" s="138">
        <v>225</v>
      </c>
      <c r="L158" s="138">
        <f>+H158+J158+I158+K158</f>
        <v>8494.0499999999993</v>
      </c>
      <c r="M158" s="138">
        <f>+G158-L158</f>
        <v>56505.95</v>
      </c>
      <c r="N158" s="151"/>
    </row>
    <row r="159" spans="2:14" ht="20.25">
      <c r="B159" s="117">
        <v>87</v>
      </c>
      <c r="C159" s="116" t="s">
        <v>309</v>
      </c>
      <c r="D159" s="116" t="s">
        <v>217</v>
      </c>
      <c r="E159" s="117" t="s">
        <v>37</v>
      </c>
      <c r="F159" s="117" t="s">
        <v>160</v>
      </c>
      <c r="G159" s="118">
        <v>37000</v>
      </c>
      <c r="H159" s="118">
        <f>G159*0.0287</f>
        <v>1061.9000000000001</v>
      </c>
      <c r="I159" s="118">
        <v>19.239999999999998</v>
      </c>
      <c r="J159" s="118">
        <f>IF(G159&lt;75829.93,G159*0.0304,2305.23)</f>
        <v>1124.8</v>
      </c>
      <c r="K159" s="118">
        <v>1225</v>
      </c>
      <c r="L159" s="138">
        <f>+H159+J159+I159+K159</f>
        <v>3430.9399999999996</v>
      </c>
      <c r="M159" s="118">
        <f>+G159-L159</f>
        <v>33569.06</v>
      </c>
      <c r="N159" s="151"/>
    </row>
    <row r="160" spans="2:14" ht="15.75">
      <c r="B160" s="124" t="s">
        <v>49</v>
      </c>
      <c r="C160" s="129"/>
      <c r="D160" s="129"/>
      <c r="E160" s="130"/>
      <c r="F160" s="131"/>
      <c r="G160" s="126">
        <f t="shared" ref="G160:K160" si="26">SUM(G157:G159)</f>
        <v>162000</v>
      </c>
      <c r="H160" s="161">
        <f t="shared" si="26"/>
        <v>4649.3999999999996</v>
      </c>
      <c r="I160" s="126">
        <f t="shared" si="26"/>
        <v>7549.48</v>
      </c>
      <c r="J160" s="126">
        <f t="shared" si="26"/>
        <v>4924.8</v>
      </c>
      <c r="K160" s="126">
        <f t="shared" si="26"/>
        <v>4954.7800000000007</v>
      </c>
      <c r="L160" s="126">
        <f>K160+J160+I160+H160</f>
        <v>22078.46</v>
      </c>
      <c r="M160" s="126">
        <f>G160-L160</f>
        <v>139921.54</v>
      </c>
    </row>
    <row r="161" spans="2:14" ht="25.5">
      <c r="B161" s="214" t="s">
        <v>310</v>
      </c>
      <c r="C161" s="214"/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151"/>
    </row>
    <row r="162" spans="2:14" ht="20.25">
      <c r="B162" s="113" t="s">
        <v>0</v>
      </c>
      <c r="C162" s="114" t="s">
        <v>1</v>
      </c>
      <c r="D162" s="114" t="s">
        <v>2</v>
      </c>
      <c r="E162" s="113" t="s">
        <v>35</v>
      </c>
      <c r="F162" s="114" t="s">
        <v>3</v>
      </c>
      <c r="G162" s="113" t="s">
        <v>54</v>
      </c>
      <c r="H162" s="113" t="s">
        <v>4</v>
      </c>
      <c r="I162" s="113" t="s">
        <v>6</v>
      </c>
      <c r="J162" s="113" t="s">
        <v>5</v>
      </c>
      <c r="K162" s="113" t="s">
        <v>57</v>
      </c>
      <c r="L162" s="113" t="s">
        <v>56</v>
      </c>
      <c r="M162" s="113" t="s">
        <v>55</v>
      </c>
      <c r="N162" s="151"/>
    </row>
    <row r="163" spans="2:14" ht="31.5">
      <c r="B163" s="149" t="s">
        <v>311</v>
      </c>
      <c r="C163" s="116" t="s">
        <v>312</v>
      </c>
      <c r="D163" s="116" t="s">
        <v>23</v>
      </c>
      <c r="E163" s="117" t="s">
        <v>37</v>
      </c>
      <c r="F163" s="117" t="s">
        <v>148</v>
      </c>
      <c r="G163" s="162">
        <v>60000</v>
      </c>
      <c r="H163" s="162">
        <v>1722</v>
      </c>
      <c r="I163" s="162">
        <v>3486.65</v>
      </c>
      <c r="J163" s="162">
        <v>1824</v>
      </c>
      <c r="K163" s="162">
        <v>325</v>
      </c>
      <c r="L163" s="162">
        <f>K163+J163+I163+H163</f>
        <v>7357.65</v>
      </c>
      <c r="M163" s="162">
        <f t="shared" ref="M163:M173" si="27">G163-L163</f>
        <v>52642.35</v>
      </c>
      <c r="N163" s="151"/>
    </row>
    <row r="164" spans="2:14" ht="31.5">
      <c r="B164" s="149" t="s">
        <v>313</v>
      </c>
      <c r="C164" s="116" t="s">
        <v>314</v>
      </c>
      <c r="D164" s="116" t="s">
        <v>23</v>
      </c>
      <c r="E164" s="117" t="s">
        <v>36</v>
      </c>
      <c r="F164" s="117" t="s">
        <v>148</v>
      </c>
      <c r="G164" s="162">
        <v>60000</v>
      </c>
      <c r="H164" s="162">
        <v>1722</v>
      </c>
      <c r="I164" s="162">
        <v>2718.74</v>
      </c>
      <c r="J164" s="162">
        <v>1824</v>
      </c>
      <c r="K164" s="162">
        <v>16210.28</v>
      </c>
      <c r="L164" s="162">
        <f>H164+K164+J164+I164</f>
        <v>22475.019999999997</v>
      </c>
      <c r="M164" s="162">
        <f t="shared" si="27"/>
        <v>37524.980000000003</v>
      </c>
      <c r="N164" s="151"/>
    </row>
    <row r="165" spans="2:14" ht="20.25">
      <c r="B165" s="149" t="s">
        <v>315</v>
      </c>
      <c r="C165" s="116" t="s">
        <v>316</v>
      </c>
      <c r="D165" s="116" t="s">
        <v>317</v>
      </c>
      <c r="E165" s="117" t="s">
        <v>37</v>
      </c>
      <c r="F165" s="117" t="s">
        <v>148</v>
      </c>
      <c r="G165" s="162">
        <v>33500</v>
      </c>
      <c r="H165" s="162">
        <v>961.45</v>
      </c>
      <c r="I165" s="162">
        <v>0</v>
      </c>
      <c r="J165" s="162">
        <v>1018.4</v>
      </c>
      <c r="K165" s="162">
        <v>3964.56</v>
      </c>
      <c r="L165" s="162">
        <f t="shared" ref="L165:L171" si="28">K165+J165+I165+H165</f>
        <v>5944.41</v>
      </c>
      <c r="M165" s="162">
        <f t="shared" si="27"/>
        <v>27555.59</v>
      </c>
      <c r="N165" s="151"/>
    </row>
    <row r="166" spans="2:14" ht="31.5">
      <c r="B166" s="149" t="s">
        <v>318</v>
      </c>
      <c r="C166" s="116" t="s">
        <v>319</v>
      </c>
      <c r="D166" s="116" t="s">
        <v>23</v>
      </c>
      <c r="E166" s="117" t="s">
        <v>37</v>
      </c>
      <c r="F166" s="117" t="s">
        <v>160</v>
      </c>
      <c r="G166" s="162">
        <v>60000</v>
      </c>
      <c r="H166" s="162">
        <v>1722</v>
      </c>
      <c r="I166" s="162">
        <v>2718.74</v>
      </c>
      <c r="J166" s="162">
        <v>1824</v>
      </c>
      <c r="K166" s="162">
        <v>5364.56</v>
      </c>
      <c r="L166" s="162">
        <f t="shared" si="28"/>
        <v>11629.3</v>
      </c>
      <c r="M166" s="162">
        <f t="shared" si="27"/>
        <v>48370.7</v>
      </c>
      <c r="N166" s="151"/>
    </row>
    <row r="167" spans="2:14" ht="20.25">
      <c r="B167" s="149" t="s">
        <v>320</v>
      </c>
      <c r="C167" s="116" t="s">
        <v>321</v>
      </c>
      <c r="D167" s="116" t="s">
        <v>23</v>
      </c>
      <c r="E167" s="117" t="s">
        <v>36</v>
      </c>
      <c r="F167" s="117" t="s">
        <v>160</v>
      </c>
      <c r="G167" s="162">
        <v>60000</v>
      </c>
      <c r="H167" s="162">
        <v>1722</v>
      </c>
      <c r="I167" s="162">
        <v>3486.65</v>
      </c>
      <c r="J167" s="162">
        <v>1824</v>
      </c>
      <c r="K167" s="162">
        <v>1525</v>
      </c>
      <c r="L167" s="162">
        <f t="shared" si="28"/>
        <v>8557.65</v>
      </c>
      <c r="M167" s="162">
        <f t="shared" si="27"/>
        <v>51442.35</v>
      </c>
      <c r="N167" s="151"/>
    </row>
    <row r="168" spans="2:14" ht="20.25">
      <c r="B168" s="149" t="s">
        <v>322</v>
      </c>
      <c r="C168" s="122" t="s">
        <v>323</v>
      </c>
      <c r="D168" s="116" t="s">
        <v>324</v>
      </c>
      <c r="E168" s="117" t="s">
        <v>36</v>
      </c>
      <c r="F168" s="117" t="s">
        <v>160</v>
      </c>
      <c r="G168" s="162">
        <f>55000+67500</f>
        <v>122500</v>
      </c>
      <c r="H168" s="162">
        <f>1578+1937.75</f>
        <v>3515.75</v>
      </c>
      <c r="I168" s="162">
        <f>2559.67+14838.33</f>
        <v>17398</v>
      </c>
      <c r="J168" s="162">
        <f>1672+2052</f>
        <v>3724</v>
      </c>
      <c r="K168" s="162">
        <v>17799.95</v>
      </c>
      <c r="L168" s="162">
        <f>K168+J168+I168+H168</f>
        <v>42437.7</v>
      </c>
      <c r="M168" s="162">
        <f t="shared" si="27"/>
        <v>80062.3</v>
      </c>
      <c r="N168" s="151"/>
    </row>
    <row r="169" spans="2:14" ht="31.5">
      <c r="B169" s="149" t="s">
        <v>325</v>
      </c>
      <c r="C169" s="116" t="s">
        <v>326</v>
      </c>
      <c r="D169" s="116" t="s">
        <v>327</v>
      </c>
      <c r="E169" s="117" t="s">
        <v>36</v>
      </c>
      <c r="F169" s="117" t="s">
        <v>160</v>
      </c>
      <c r="G169" s="162">
        <v>35000</v>
      </c>
      <c r="H169" s="162">
        <v>1004.5</v>
      </c>
      <c r="I169" s="162">
        <v>0</v>
      </c>
      <c r="J169" s="162">
        <v>1064</v>
      </c>
      <c r="K169" s="162">
        <v>25</v>
      </c>
      <c r="L169" s="162">
        <f t="shared" si="28"/>
        <v>2093.5</v>
      </c>
      <c r="M169" s="162">
        <f t="shared" si="27"/>
        <v>32906.5</v>
      </c>
      <c r="N169" s="151"/>
    </row>
    <row r="170" spans="2:14" ht="20.25">
      <c r="B170" s="149" t="s">
        <v>328</v>
      </c>
      <c r="C170" s="116" t="s">
        <v>329</v>
      </c>
      <c r="D170" s="116" t="s">
        <v>217</v>
      </c>
      <c r="E170" s="117" t="s">
        <v>37</v>
      </c>
      <c r="F170" s="117" t="s">
        <v>160</v>
      </c>
      <c r="G170" s="135">
        <v>35000</v>
      </c>
      <c r="H170" s="162">
        <v>1004.5</v>
      </c>
      <c r="I170" s="162">
        <v>0</v>
      </c>
      <c r="J170" s="162">
        <v>1064</v>
      </c>
      <c r="K170" s="162">
        <v>725</v>
      </c>
      <c r="L170" s="162">
        <f t="shared" si="28"/>
        <v>2793.5</v>
      </c>
      <c r="M170" s="162">
        <f t="shared" si="27"/>
        <v>32206.5</v>
      </c>
      <c r="N170" s="151"/>
    </row>
    <row r="171" spans="2:14" ht="31.5">
      <c r="B171" s="149" t="s">
        <v>330</v>
      </c>
      <c r="C171" s="116" t="s">
        <v>331</v>
      </c>
      <c r="D171" s="116" t="s">
        <v>23</v>
      </c>
      <c r="E171" s="117" t="s">
        <v>36</v>
      </c>
      <c r="F171" s="117" t="s">
        <v>148</v>
      </c>
      <c r="G171" s="118">
        <v>60000</v>
      </c>
      <c r="H171" s="118">
        <v>1722</v>
      </c>
      <c r="I171" s="118">
        <v>3102.69</v>
      </c>
      <c r="J171" s="118">
        <v>1824</v>
      </c>
      <c r="K171" s="118">
        <v>2244.7800000000002</v>
      </c>
      <c r="L171" s="118">
        <f t="shared" si="28"/>
        <v>8893.4700000000012</v>
      </c>
      <c r="M171" s="118">
        <f t="shared" si="27"/>
        <v>51106.53</v>
      </c>
      <c r="N171" s="151"/>
    </row>
    <row r="172" spans="2:14" ht="31.5">
      <c r="B172" s="149" t="s">
        <v>332</v>
      </c>
      <c r="C172" s="116" t="s">
        <v>333</v>
      </c>
      <c r="D172" s="116" t="s">
        <v>243</v>
      </c>
      <c r="E172" s="133" t="s">
        <v>37</v>
      </c>
      <c r="F172" s="117" t="s">
        <v>160</v>
      </c>
      <c r="G172" s="119">
        <v>37000</v>
      </c>
      <c r="H172" s="119">
        <v>1061.9000000000001</v>
      </c>
      <c r="I172" s="119">
        <v>19.239999999999998</v>
      </c>
      <c r="J172" s="119">
        <v>1124.8</v>
      </c>
      <c r="K172" s="119">
        <v>9771.59</v>
      </c>
      <c r="L172" s="119">
        <f>H172+I172+J172+K172</f>
        <v>11977.53</v>
      </c>
      <c r="M172" s="119">
        <f t="shared" si="27"/>
        <v>25022.47</v>
      </c>
      <c r="N172" s="151"/>
    </row>
    <row r="173" spans="2:14" ht="31.5">
      <c r="B173" s="149" t="s">
        <v>334</v>
      </c>
      <c r="C173" s="116" t="s">
        <v>335</v>
      </c>
      <c r="D173" s="116" t="s">
        <v>217</v>
      </c>
      <c r="E173" s="133" t="s">
        <v>37</v>
      </c>
      <c r="F173" s="117" t="s">
        <v>160</v>
      </c>
      <c r="G173" s="119">
        <v>33500</v>
      </c>
      <c r="H173" s="119">
        <v>961.45</v>
      </c>
      <c r="I173" s="119">
        <v>0</v>
      </c>
      <c r="J173" s="119">
        <v>1018.4</v>
      </c>
      <c r="K173" s="119">
        <v>25</v>
      </c>
      <c r="L173" s="119">
        <f>H173+I173+J173+K173</f>
        <v>2004.85</v>
      </c>
      <c r="M173" s="119">
        <f t="shared" si="27"/>
        <v>31495.15</v>
      </c>
      <c r="N173" s="84"/>
    </row>
    <row r="174" spans="2:14" ht="20.25">
      <c r="B174" s="163" t="s">
        <v>49</v>
      </c>
      <c r="C174" s="164"/>
      <c r="D174" s="164"/>
      <c r="E174" s="165"/>
      <c r="F174" s="163"/>
      <c r="G174" s="166">
        <f t="shared" ref="G174:M174" si="29">SUM(G163:G173)</f>
        <v>596500</v>
      </c>
      <c r="H174" s="167">
        <f t="shared" si="29"/>
        <v>17119.55</v>
      </c>
      <c r="I174" s="166">
        <f t="shared" si="29"/>
        <v>32930.71</v>
      </c>
      <c r="J174" s="166">
        <f t="shared" si="29"/>
        <v>18133.600000000002</v>
      </c>
      <c r="K174" s="166">
        <f t="shared" si="29"/>
        <v>57980.72</v>
      </c>
      <c r="L174" s="166">
        <f t="shared" si="29"/>
        <v>126164.58000000002</v>
      </c>
      <c r="M174" s="166">
        <f t="shared" si="29"/>
        <v>470335.42000000004</v>
      </c>
      <c r="N174" s="151"/>
    </row>
    <row r="175" spans="2:14" ht="20.25">
      <c r="B175" s="163"/>
      <c r="C175" s="164"/>
      <c r="D175" s="164"/>
      <c r="E175" s="165"/>
      <c r="F175" s="163"/>
      <c r="G175" s="166"/>
      <c r="H175" s="167"/>
      <c r="I175" s="166"/>
      <c r="J175" s="166"/>
      <c r="K175" s="166"/>
      <c r="L175" s="166"/>
      <c r="M175" s="166"/>
      <c r="N175" s="151"/>
    </row>
    <row r="176" spans="2:14" ht="20.25">
      <c r="B176" s="163"/>
      <c r="C176" s="164"/>
      <c r="D176" s="164"/>
      <c r="E176" s="165"/>
      <c r="F176" s="163"/>
      <c r="G176" s="166"/>
      <c r="H176" s="167"/>
      <c r="I176" s="166"/>
      <c r="J176" s="166"/>
      <c r="K176" s="166"/>
      <c r="L176" s="166"/>
      <c r="M176" s="166"/>
      <c r="N176" s="151"/>
    </row>
    <row r="177" spans="2:14" ht="25.5">
      <c r="B177" s="215" t="s">
        <v>336</v>
      </c>
      <c r="C177" s="215"/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151"/>
    </row>
    <row r="178" spans="2:14" ht="20.25">
      <c r="B178" s="168" t="s">
        <v>0</v>
      </c>
      <c r="C178" s="169" t="s">
        <v>1</v>
      </c>
      <c r="D178" s="169" t="s">
        <v>2</v>
      </c>
      <c r="E178" s="168" t="s">
        <v>35</v>
      </c>
      <c r="F178" s="169" t="s">
        <v>3</v>
      </c>
      <c r="G178" s="168" t="s">
        <v>54</v>
      </c>
      <c r="H178" s="168" t="s">
        <v>4</v>
      </c>
      <c r="I178" s="168" t="s">
        <v>6</v>
      </c>
      <c r="J178" s="168" t="s">
        <v>5</v>
      </c>
      <c r="K178" s="168" t="s">
        <v>57</v>
      </c>
      <c r="L178" s="168" t="s">
        <v>56</v>
      </c>
      <c r="M178" s="168" t="s">
        <v>55</v>
      </c>
      <c r="N178" s="151"/>
    </row>
    <row r="179" spans="2:14" ht="20.25">
      <c r="B179" s="117">
        <v>99</v>
      </c>
      <c r="C179" s="116" t="s">
        <v>337</v>
      </c>
      <c r="D179" s="116" t="s">
        <v>217</v>
      </c>
      <c r="E179" s="117" t="s">
        <v>36</v>
      </c>
      <c r="F179" s="117" t="s">
        <v>160</v>
      </c>
      <c r="G179" s="119">
        <v>37000</v>
      </c>
      <c r="H179" s="119">
        <v>1061.9000000000001</v>
      </c>
      <c r="I179" s="119">
        <v>19.239999999999998</v>
      </c>
      <c r="J179" s="119">
        <v>1124.8</v>
      </c>
      <c r="K179" s="119">
        <v>3412.86</v>
      </c>
      <c r="L179" s="119">
        <f>K179+J179+I179+H179</f>
        <v>5618.7999999999993</v>
      </c>
      <c r="M179" s="119">
        <f t="shared" ref="M179:M184" si="30">G179-L179</f>
        <v>31381.200000000001</v>
      </c>
      <c r="N179" s="151"/>
    </row>
    <row r="180" spans="2:14" ht="20.25">
      <c r="B180" s="117">
        <v>100</v>
      </c>
      <c r="C180" s="116" t="s">
        <v>338</v>
      </c>
      <c r="D180" s="116" t="s">
        <v>243</v>
      </c>
      <c r="E180" s="133" t="s">
        <v>37</v>
      </c>
      <c r="F180" s="117" t="s">
        <v>160</v>
      </c>
      <c r="G180" s="119">
        <v>30000</v>
      </c>
      <c r="H180" s="119">
        <v>861</v>
      </c>
      <c r="I180" s="119">
        <v>0</v>
      </c>
      <c r="J180" s="119">
        <v>912</v>
      </c>
      <c r="K180" s="119">
        <v>6297.41</v>
      </c>
      <c r="L180" s="119">
        <f>K180+J180+I180+H180</f>
        <v>8070.41</v>
      </c>
      <c r="M180" s="119">
        <f t="shared" si="30"/>
        <v>21929.59</v>
      </c>
      <c r="N180" s="151"/>
    </row>
    <row r="181" spans="2:14" ht="20.25">
      <c r="B181" s="117">
        <v>101</v>
      </c>
      <c r="C181" s="116" t="s">
        <v>339</v>
      </c>
      <c r="D181" s="116" t="s">
        <v>217</v>
      </c>
      <c r="E181" s="133" t="s">
        <v>36</v>
      </c>
      <c r="F181" s="117" t="s">
        <v>160</v>
      </c>
      <c r="G181" s="119">
        <v>37000</v>
      </c>
      <c r="H181" s="119">
        <v>1061.9000000000001</v>
      </c>
      <c r="I181" s="119">
        <v>19.239999999999998</v>
      </c>
      <c r="J181" s="119">
        <v>1124.8</v>
      </c>
      <c r="K181" s="119">
        <v>2025</v>
      </c>
      <c r="L181" s="119">
        <f>H181+I181+J181+K181</f>
        <v>4230.9400000000005</v>
      </c>
      <c r="M181" s="119">
        <f t="shared" si="30"/>
        <v>32769.06</v>
      </c>
      <c r="N181" s="151"/>
    </row>
    <row r="182" spans="2:14" ht="31.5">
      <c r="B182" s="117">
        <v>102</v>
      </c>
      <c r="C182" s="116" t="s">
        <v>340</v>
      </c>
      <c r="D182" s="116" t="s">
        <v>217</v>
      </c>
      <c r="E182" s="133" t="s">
        <v>37</v>
      </c>
      <c r="F182" s="117" t="s">
        <v>160</v>
      </c>
      <c r="G182" s="119">
        <v>33500</v>
      </c>
      <c r="H182" s="119">
        <v>961.45</v>
      </c>
      <c r="I182" s="119">
        <v>0</v>
      </c>
      <c r="J182" s="119">
        <v>1018.4</v>
      </c>
      <c r="K182" s="119">
        <v>2647.78</v>
      </c>
      <c r="L182" s="119">
        <f>H182+I182+J182+K182</f>
        <v>4627.63</v>
      </c>
      <c r="M182" s="119">
        <f>G182-L182</f>
        <v>28872.37</v>
      </c>
      <c r="N182" s="151"/>
    </row>
    <row r="183" spans="2:14" ht="20.25">
      <c r="B183" s="117">
        <v>103</v>
      </c>
      <c r="C183" s="116" t="s">
        <v>341</v>
      </c>
      <c r="D183" s="116" t="s">
        <v>342</v>
      </c>
      <c r="E183" s="133" t="s">
        <v>37</v>
      </c>
      <c r="F183" s="117" t="s">
        <v>160</v>
      </c>
      <c r="G183" s="119">
        <v>70000</v>
      </c>
      <c r="H183" s="119">
        <v>2009</v>
      </c>
      <c r="I183" s="119">
        <v>4984.49</v>
      </c>
      <c r="J183" s="119">
        <v>2128</v>
      </c>
      <c r="K183" s="119">
        <v>1944.78</v>
      </c>
      <c r="L183" s="119">
        <f>H183+I183+J183+K183</f>
        <v>11066.27</v>
      </c>
      <c r="M183" s="119">
        <f>G183-L183</f>
        <v>58933.729999999996</v>
      </c>
      <c r="N183" s="151"/>
    </row>
    <row r="184" spans="2:14" ht="20.25">
      <c r="B184" s="117">
        <v>104</v>
      </c>
      <c r="C184" s="158" t="s">
        <v>343</v>
      </c>
      <c r="D184" s="116" t="s">
        <v>344</v>
      </c>
      <c r="E184" s="133" t="s">
        <v>37</v>
      </c>
      <c r="F184" s="117" t="s">
        <v>160</v>
      </c>
      <c r="G184" s="119">
        <v>55000</v>
      </c>
      <c r="H184" s="119">
        <v>1578.5</v>
      </c>
      <c r="I184" s="119">
        <v>2559.67</v>
      </c>
      <c r="J184" s="119">
        <v>1672</v>
      </c>
      <c r="K184" s="119">
        <v>25</v>
      </c>
      <c r="L184" s="119">
        <f>H184+I184+J184+K184</f>
        <v>5835.17</v>
      </c>
      <c r="M184" s="119">
        <f t="shared" si="30"/>
        <v>49164.83</v>
      </c>
      <c r="N184" s="151"/>
    </row>
    <row r="185" spans="2:14" ht="20.25">
      <c r="B185" s="117">
        <v>105</v>
      </c>
      <c r="C185" s="122" t="s">
        <v>345</v>
      </c>
      <c r="D185" s="116" t="s">
        <v>243</v>
      </c>
      <c r="E185" s="133" t="s">
        <v>37</v>
      </c>
      <c r="F185" s="117" t="s">
        <v>148</v>
      </c>
      <c r="G185" s="119">
        <v>37000</v>
      </c>
      <c r="H185" s="119">
        <v>1061.9000000000001</v>
      </c>
      <c r="I185" s="119">
        <v>0</v>
      </c>
      <c r="J185" s="119">
        <v>1124.8</v>
      </c>
      <c r="K185" s="119">
        <v>9974.15</v>
      </c>
      <c r="L185" s="119">
        <f>H185+I185+J185+K185</f>
        <v>12160.849999999999</v>
      </c>
      <c r="M185" s="119">
        <f>G185-L185</f>
        <v>24839.15</v>
      </c>
      <c r="N185" s="84"/>
    </row>
    <row r="186" spans="2:14" ht="20.25">
      <c r="B186" s="163" t="s">
        <v>49</v>
      </c>
      <c r="C186" s="170"/>
      <c r="D186" s="170"/>
      <c r="E186" s="165"/>
      <c r="F186" s="163"/>
      <c r="G186" s="145">
        <f t="shared" ref="G186:M186" si="31">SUM(G179:G185)</f>
        <v>299500</v>
      </c>
      <c r="H186" s="171">
        <f t="shared" si="31"/>
        <v>8595.65</v>
      </c>
      <c r="I186" s="145">
        <f t="shared" si="31"/>
        <v>7582.6399999999994</v>
      </c>
      <c r="J186" s="145">
        <f t="shared" si="31"/>
        <v>9104.7999999999993</v>
      </c>
      <c r="K186" s="145">
        <f t="shared" si="31"/>
        <v>26326.980000000003</v>
      </c>
      <c r="L186" s="145">
        <f t="shared" si="31"/>
        <v>51610.07</v>
      </c>
      <c r="M186" s="145">
        <f t="shared" si="31"/>
        <v>247889.93000000002</v>
      </c>
      <c r="N186" s="151"/>
    </row>
    <row r="187" spans="2:14" ht="25.5">
      <c r="B187" s="214" t="s">
        <v>346</v>
      </c>
      <c r="C187" s="214"/>
      <c r="D187" s="214"/>
      <c r="E187" s="214"/>
      <c r="F187" s="214"/>
      <c r="G187" s="214"/>
      <c r="H187" s="214"/>
      <c r="I187" s="214"/>
      <c r="J187" s="214"/>
      <c r="K187" s="214"/>
      <c r="L187" s="214"/>
      <c r="M187" s="214"/>
      <c r="N187" s="151"/>
    </row>
    <row r="188" spans="2:14" ht="20.25">
      <c r="B188" s="113" t="s">
        <v>0</v>
      </c>
      <c r="C188" s="114" t="s">
        <v>1</v>
      </c>
      <c r="D188" s="114" t="s">
        <v>2</v>
      </c>
      <c r="E188" s="113" t="s">
        <v>35</v>
      </c>
      <c r="F188" s="114" t="s">
        <v>3</v>
      </c>
      <c r="G188" s="113" t="s">
        <v>54</v>
      </c>
      <c r="H188" s="113" t="s">
        <v>4</v>
      </c>
      <c r="I188" s="113" t="s">
        <v>6</v>
      </c>
      <c r="J188" s="113" t="s">
        <v>5</v>
      </c>
      <c r="K188" s="113" t="s">
        <v>57</v>
      </c>
      <c r="L188" s="113" t="s">
        <v>56</v>
      </c>
      <c r="M188" s="113" t="s">
        <v>55</v>
      </c>
      <c r="N188" s="151"/>
    </row>
    <row r="189" spans="2:14" ht="20.25">
      <c r="B189" s="117">
        <v>106</v>
      </c>
      <c r="C189" s="121" t="s">
        <v>347</v>
      </c>
      <c r="D189" s="116" t="s">
        <v>281</v>
      </c>
      <c r="E189" s="117" t="s">
        <v>36</v>
      </c>
      <c r="F189" s="117" t="s">
        <v>148</v>
      </c>
      <c r="G189" s="118">
        <v>37000</v>
      </c>
      <c r="H189" s="118">
        <v>1061.9000000000001</v>
      </c>
      <c r="I189" s="118">
        <v>0</v>
      </c>
      <c r="J189" s="138">
        <v>1124.8</v>
      </c>
      <c r="K189" s="118">
        <v>15358.28</v>
      </c>
      <c r="L189" s="118">
        <f>H189+J189+I189+K189</f>
        <v>17544.98</v>
      </c>
      <c r="M189" s="138">
        <f>+G189-L189</f>
        <v>19455.02</v>
      </c>
      <c r="N189" s="151"/>
    </row>
    <row r="190" spans="2:14" ht="31.5">
      <c r="B190" s="117">
        <v>107</v>
      </c>
      <c r="C190" s="116" t="s">
        <v>348</v>
      </c>
      <c r="D190" s="116" t="s">
        <v>349</v>
      </c>
      <c r="E190" s="117" t="s">
        <v>36</v>
      </c>
      <c r="F190" s="117" t="s">
        <v>160</v>
      </c>
      <c r="G190" s="138">
        <f>30000+71500</f>
        <v>101500</v>
      </c>
      <c r="H190" s="138">
        <f>861+2052.05</f>
        <v>2913.05</v>
      </c>
      <c r="I190" s="118">
        <f>12458.27+0</f>
        <v>12458.27</v>
      </c>
      <c r="J190" s="138">
        <f>912+2173.6</f>
        <v>3085.6</v>
      </c>
      <c r="K190" s="118">
        <v>225</v>
      </c>
      <c r="L190" s="138">
        <f>SUM(H190:K190)</f>
        <v>18681.919999999998</v>
      </c>
      <c r="M190" s="138">
        <f>G190-L190</f>
        <v>82818.080000000002</v>
      </c>
      <c r="N190" s="151"/>
    </row>
    <row r="191" spans="2:14" ht="20.25">
      <c r="B191" s="163" t="s">
        <v>49</v>
      </c>
      <c r="C191" s="116"/>
      <c r="D191" s="116"/>
      <c r="E191" s="117"/>
      <c r="F191" s="117"/>
      <c r="G191" s="141">
        <f>SUM(G189:G190)</f>
        <v>138500</v>
      </c>
      <c r="H191" s="141">
        <f>SUM(H189:H190)</f>
        <v>3974.9500000000003</v>
      </c>
      <c r="I191" s="126">
        <f>SUM(I189:I190)</f>
        <v>12458.27</v>
      </c>
      <c r="J191" s="141">
        <f>+SUM(J189:J190)</f>
        <v>4210.3999999999996</v>
      </c>
      <c r="K191" s="141">
        <f>SUM(K189:K190)</f>
        <v>15583.28</v>
      </c>
      <c r="L191" s="141">
        <f>SUM(L189:L190)</f>
        <v>36226.899999999994</v>
      </c>
      <c r="M191" s="141">
        <f>SUM(M189:M190)</f>
        <v>102273.1</v>
      </c>
      <c r="N191" s="151"/>
    </row>
    <row r="192" spans="2:14" ht="25.5">
      <c r="B192" s="214" t="s">
        <v>350</v>
      </c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151"/>
    </row>
    <row r="193" spans="2:14" ht="20.25">
      <c r="B193" s="113" t="s">
        <v>0</v>
      </c>
      <c r="C193" s="114" t="s">
        <v>1</v>
      </c>
      <c r="D193" s="114" t="s">
        <v>2</v>
      </c>
      <c r="E193" s="113" t="s">
        <v>35</v>
      </c>
      <c r="F193" s="114" t="s">
        <v>3</v>
      </c>
      <c r="G193" s="113" t="s">
        <v>54</v>
      </c>
      <c r="H193" s="113" t="s">
        <v>4</v>
      </c>
      <c r="I193" s="113" t="s">
        <v>6</v>
      </c>
      <c r="J193" s="113" t="s">
        <v>5</v>
      </c>
      <c r="K193" s="113" t="s">
        <v>57</v>
      </c>
      <c r="L193" s="113" t="s">
        <v>56</v>
      </c>
      <c r="M193" s="113" t="s">
        <v>55</v>
      </c>
      <c r="N193" s="151"/>
    </row>
    <row r="194" spans="2:14" ht="47.25">
      <c r="B194" s="117">
        <v>108</v>
      </c>
      <c r="C194" s="116" t="s">
        <v>351</v>
      </c>
      <c r="D194" s="116" t="s">
        <v>352</v>
      </c>
      <c r="E194" s="133" t="s">
        <v>37</v>
      </c>
      <c r="F194" s="117" t="s">
        <v>160</v>
      </c>
      <c r="G194" s="119">
        <v>101500</v>
      </c>
      <c r="H194" s="119">
        <f>G194*0.0287</f>
        <v>2913.05</v>
      </c>
      <c r="I194" s="119">
        <v>12458.27</v>
      </c>
      <c r="J194" s="119">
        <v>3085.6</v>
      </c>
      <c r="K194" s="119">
        <v>325</v>
      </c>
      <c r="L194" s="119">
        <f>H194+J194+I194+K194</f>
        <v>18781.919999999998</v>
      </c>
      <c r="M194" s="119">
        <f>+G194-L194</f>
        <v>82718.080000000002</v>
      </c>
      <c r="N194" s="151"/>
    </row>
    <row r="195" spans="2:14" ht="31.5">
      <c r="B195" s="117">
        <v>109</v>
      </c>
      <c r="C195" s="121" t="s">
        <v>353</v>
      </c>
      <c r="D195" s="116" t="s">
        <v>354</v>
      </c>
      <c r="E195" s="117" t="s">
        <v>37</v>
      </c>
      <c r="F195" s="117" t="s">
        <v>148</v>
      </c>
      <c r="G195" s="118">
        <v>65000</v>
      </c>
      <c r="H195" s="118">
        <f>G195*0.0287</f>
        <v>1865.5</v>
      </c>
      <c r="I195" s="118">
        <v>4043.59</v>
      </c>
      <c r="J195" s="118">
        <f>IF(G195&lt;75829.93,G195*0.0304,2305.23)</f>
        <v>1976</v>
      </c>
      <c r="K195" s="118">
        <v>14570.41</v>
      </c>
      <c r="L195" s="118">
        <f>SUM(H195:K195)</f>
        <v>22455.5</v>
      </c>
      <c r="M195" s="138">
        <f>+G195-L195</f>
        <v>42544.5</v>
      </c>
      <c r="N195" s="151"/>
    </row>
    <row r="196" spans="2:14" ht="20.25">
      <c r="B196" s="117"/>
      <c r="C196" s="122"/>
      <c r="D196" s="116"/>
      <c r="E196" s="117"/>
      <c r="F196" s="117"/>
      <c r="G196" s="172">
        <f t="shared" ref="G196:M196" si="32">SUM(G194:G195)</f>
        <v>166500</v>
      </c>
      <c r="H196" s="173">
        <f t="shared" si="32"/>
        <v>4778.55</v>
      </c>
      <c r="I196" s="173">
        <f t="shared" si="32"/>
        <v>16501.86</v>
      </c>
      <c r="J196" s="172">
        <f t="shared" si="32"/>
        <v>5061.6000000000004</v>
      </c>
      <c r="K196" s="173">
        <f t="shared" si="32"/>
        <v>14895.41</v>
      </c>
      <c r="L196" s="173">
        <f t="shared" si="32"/>
        <v>41237.42</v>
      </c>
      <c r="M196" s="174">
        <f t="shared" si="32"/>
        <v>125262.58</v>
      </c>
      <c r="N196" s="151"/>
    </row>
    <row r="197" spans="2:14" ht="20.25">
      <c r="B197" s="170" t="s">
        <v>355</v>
      </c>
      <c r="C197" s="122"/>
      <c r="D197" s="116"/>
      <c r="E197" s="117"/>
      <c r="F197" s="117"/>
      <c r="G197" s="175">
        <v>6314450</v>
      </c>
      <c r="H197" s="173">
        <v>181224.72</v>
      </c>
      <c r="I197" s="173">
        <v>482292.97</v>
      </c>
      <c r="J197" s="172">
        <v>191571.07</v>
      </c>
      <c r="K197" s="173">
        <v>797991.5</v>
      </c>
      <c r="L197" s="173">
        <v>1653080.27</v>
      </c>
      <c r="M197" s="174">
        <v>4661369.7300000004</v>
      </c>
      <c r="N197" s="151"/>
    </row>
    <row r="198" spans="2:14" ht="32.25" thickBot="1">
      <c r="B198" s="170" t="s">
        <v>356</v>
      </c>
      <c r="C198" s="122"/>
      <c r="D198" s="116"/>
      <c r="E198" s="117"/>
      <c r="F198" s="117"/>
      <c r="G198" s="176">
        <v>6314450</v>
      </c>
      <c r="H198" s="177">
        <v>181224.72</v>
      </c>
      <c r="I198" s="177">
        <v>482292.97</v>
      </c>
      <c r="J198" s="176">
        <v>191571.07</v>
      </c>
      <c r="K198" s="177">
        <v>797991.5</v>
      </c>
      <c r="L198" s="177">
        <v>1653080.27</v>
      </c>
      <c r="M198" s="178">
        <f>G198-L198</f>
        <v>4661369.7300000004</v>
      </c>
      <c r="N198" s="151"/>
    </row>
    <row r="199" spans="2:14" ht="21" thickTop="1">
      <c r="B199" s="117"/>
      <c r="C199" s="122"/>
      <c r="D199" s="116"/>
      <c r="E199" s="117"/>
      <c r="F199" s="117"/>
      <c r="G199" s="145"/>
      <c r="H199" s="125"/>
      <c r="I199" s="125"/>
      <c r="J199" s="145"/>
      <c r="K199" s="125"/>
      <c r="L199" s="125"/>
      <c r="M199" s="141"/>
      <c r="N199" s="151"/>
    </row>
    <row r="200" spans="2:14" ht="20.25">
      <c r="B200" s="117"/>
      <c r="C200" s="122"/>
      <c r="D200" s="116"/>
      <c r="E200" s="117"/>
      <c r="F200" s="117"/>
      <c r="G200" s="119"/>
      <c r="H200" s="123"/>
      <c r="I200" s="150"/>
      <c r="J200" s="119"/>
      <c r="K200" s="123"/>
      <c r="L200" s="123"/>
      <c r="M200" s="138"/>
      <c r="N200" s="151"/>
    </row>
    <row r="201" spans="2:14" ht="20.25">
      <c r="B201" s="115" t="s">
        <v>46</v>
      </c>
      <c r="C201" s="120"/>
      <c r="D201" s="120"/>
      <c r="E201" s="115"/>
      <c r="F201" s="179" t="s">
        <v>48</v>
      </c>
      <c r="G201" s="179"/>
      <c r="H201" s="179"/>
      <c r="I201" s="179"/>
      <c r="J201" s="180"/>
      <c r="K201" s="212" t="s">
        <v>47</v>
      </c>
      <c r="L201" s="212"/>
      <c r="M201" s="212"/>
      <c r="N201" s="151"/>
    </row>
    <row r="202" spans="2:14" ht="20.25">
      <c r="B202" s="115"/>
      <c r="C202" s="120"/>
      <c r="D202" s="120"/>
      <c r="E202" s="115"/>
      <c r="F202" s="179"/>
      <c r="G202" s="179"/>
      <c r="H202" s="179"/>
      <c r="I202" s="179"/>
      <c r="J202" s="180"/>
      <c r="K202" s="179"/>
      <c r="L202" s="179"/>
      <c r="M202" s="179"/>
      <c r="N202" s="151"/>
    </row>
    <row r="203" spans="2:14" ht="20.25">
      <c r="B203" s="181"/>
      <c r="C203" s="120"/>
      <c r="D203" s="120" t="s">
        <v>121</v>
      </c>
      <c r="E203" s="115"/>
      <c r="F203" s="115"/>
      <c r="G203" s="115"/>
      <c r="H203" s="179"/>
      <c r="I203" s="179"/>
      <c r="J203" s="182"/>
      <c r="K203" s="182"/>
      <c r="L203" s="182"/>
      <c r="M203" s="182"/>
      <c r="N203" s="151"/>
    </row>
    <row r="204" spans="2:14" ht="20.25">
      <c r="B204" s="183" t="s">
        <v>357</v>
      </c>
      <c r="C204" s="120"/>
      <c r="D204" s="120"/>
      <c r="E204" s="115"/>
      <c r="F204" s="183" t="s">
        <v>8</v>
      </c>
      <c r="G204" s="183"/>
      <c r="H204" s="179"/>
      <c r="I204" s="179"/>
      <c r="J204" s="179"/>
      <c r="K204" s="213" t="s">
        <v>77</v>
      </c>
      <c r="L204" s="213"/>
      <c r="M204" s="213"/>
      <c r="N204" s="151"/>
    </row>
    <row r="205" spans="2:14" ht="20.25">
      <c r="B205" s="115" t="s">
        <v>358</v>
      </c>
      <c r="C205" s="120"/>
      <c r="D205" s="120"/>
      <c r="E205" s="115"/>
      <c r="F205" s="115" t="s">
        <v>51</v>
      </c>
      <c r="G205" s="115"/>
      <c r="H205" s="179"/>
      <c r="I205" s="179"/>
      <c r="J205" s="179"/>
      <c r="K205" s="212" t="s">
        <v>7</v>
      </c>
      <c r="L205" s="212"/>
      <c r="M205" s="212"/>
      <c r="N205" s="151"/>
    </row>
    <row r="206" spans="2:14" ht="20.25">
      <c r="B206" s="117"/>
      <c r="C206" s="122"/>
      <c r="D206" s="116"/>
      <c r="E206" s="117"/>
      <c r="F206" s="117"/>
      <c r="G206" s="119"/>
      <c r="H206" s="123"/>
      <c r="I206" s="150"/>
      <c r="J206" s="119"/>
      <c r="K206" s="123"/>
      <c r="L206" s="123"/>
      <c r="M206" s="138"/>
      <c r="N206" s="151"/>
    </row>
    <row r="207" spans="2:14">
      <c r="E207" s="3"/>
      <c r="F207" s="3"/>
    </row>
  </sheetData>
  <mergeCells count="27">
    <mergeCell ref="B45:M45"/>
    <mergeCell ref="B5:N10"/>
    <mergeCell ref="B12:M12"/>
    <mergeCell ref="B26:M26"/>
    <mergeCell ref="B30:M30"/>
    <mergeCell ref="B38:M38"/>
    <mergeCell ref="B139:M139"/>
    <mergeCell ref="B55:M55"/>
    <mergeCell ref="B60:M60"/>
    <mergeCell ref="B64:M64"/>
    <mergeCell ref="B76:M76"/>
    <mergeCell ref="B81:M81"/>
    <mergeCell ref="B85:M85"/>
    <mergeCell ref="B91:M91"/>
    <mergeCell ref="B102:M102"/>
    <mergeCell ref="B106:M106"/>
    <mergeCell ref="B128:M128"/>
    <mergeCell ref="B132:M132"/>
    <mergeCell ref="K201:M201"/>
    <mergeCell ref="K204:M204"/>
    <mergeCell ref="K205:M205"/>
    <mergeCell ref="B147:M147"/>
    <mergeCell ref="B155:M155"/>
    <mergeCell ref="B161:M161"/>
    <mergeCell ref="B177:M177"/>
    <mergeCell ref="B187:M187"/>
    <mergeCell ref="B192:M19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0"/>
  <sheetViews>
    <sheetView tabSelected="1" zoomScale="70" zoomScaleNormal="70" workbookViewId="0">
      <selection sqref="A1:M6"/>
    </sheetView>
  </sheetViews>
  <sheetFormatPr baseColWidth="10" defaultRowHeight="30" customHeight="1"/>
  <cols>
    <col min="1" max="1" width="21.28515625" customWidth="1"/>
    <col min="2" max="2" width="47.140625" customWidth="1"/>
    <col min="3" max="3" width="37.28515625" customWidth="1"/>
    <col min="4" max="4" width="13.42578125" style="3" customWidth="1"/>
    <col min="5" max="5" width="37.85546875" style="3" customWidth="1"/>
    <col min="6" max="6" width="35" customWidth="1"/>
    <col min="7" max="7" width="25.42578125" customWidth="1"/>
    <col min="8" max="8" width="17.7109375" customWidth="1"/>
    <col min="9" max="9" width="21.5703125" customWidth="1"/>
    <col min="10" max="10" width="27.28515625" customWidth="1"/>
    <col min="11" max="11" width="19.140625" customWidth="1"/>
    <col min="12" max="12" width="18" customWidth="1"/>
    <col min="13" max="13" width="19.42578125" customWidth="1"/>
  </cols>
  <sheetData>
    <row r="1" spans="1:13" ht="20.100000000000001" customHeight="1">
      <c r="A1" s="184" t="s">
        <v>360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</row>
    <row r="2" spans="1:13" ht="20.100000000000001" customHeight="1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9"/>
    </row>
    <row r="3" spans="1:13" ht="20.100000000000001" customHeight="1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13" ht="20.100000000000001" customHeight="1">
      <c r="A4" s="187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</row>
    <row r="5" spans="1:13" ht="16.5" customHeight="1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ht="12" customHeight="1">
      <c r="A6" s="187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9"/>
    </row>
    <row r="7" spans="1:13" ht="44.25" customHeight="1">
      <c r="A7" s="41" t="s">
        <v>39</v>
      </c>
      <c r="B7" s="41" t="s">
        <v>52</v>
      </c>
      <c r="C7" s="41" t="s">
        <v>40</v>
      </c>
      <c r="D7" s="41" t="s">
        <v>41</v>
      </c>
      <c r="E7" s="41" t="s">
        <v>42</v>
      </c>
      <c r="F7" s="41"/>
      <c r="G7" s="41" t="s">
        <v>53</v>
      </c>
      <c r="H7" s="41" t="s">
        <v>43</v>
      </c>
      <c r="I7" s="41" t="s">
        <v>17</v>
      </c>
      <c r="J7" s="41" t="s">
        <v>38</v>
      </c>
      <c r="K7" s="41" t="s">
        <v>44</v>
      </c>
      <c r="L7" s="41"/>
      <c r="M7" s="41"/>
    </row>
    <row r="8" spans="1:13" ht="30" customHeight="1">
      <c r="A8" s="190" t="s">
        <v>81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</row>
    <row r="9" spans="1:13" ht="30" customHeight="1">
      <c r="A9" s="42" t="s">
        <v>0</v>
      </c>
      <c r="B9" s="43" t="s">
        <v>1</v>
      </c>
      <c r="C9" s="43" t="s">
        <v>2</v>
      </c>
      <c r="D9" s="43" t="s">
        <v>35</v>
      </c>
      <c r="E9" s="43" t="s">
        <v>3</v>
      </c>
      <c r="F9" s="43" t="s">
        <v>13</v>
      </c>
      <c r="G9" s="43" t="s">
        <v>54</v>
      </c>
      <c r="H9" s="43" t="s">
        <v>4</v>
      </c>
      <c r="I9" s="43" t="s">
        <v>6</v>
      </c>
      <c r="J9" s="43" t="s">
        <v>5</v>
      </c>
      <c r="K9" s="43" t="s">
        <v>57</v>
      </c>
      <c r="L9" s="43" t="s">
        <v>56</v>
      </c>
      <c r="M9" s="44" t="s">
        <v>55</v>
      </c>
    </row>
    <row r="10" spans="1:13" ht="30" customHeight="1">
      <c r="A10" s="78">
        <v>1</v>
      </c>
      <c r="B10" s="76" t="s">
        <v>19</v>
      </c>
      <c r="C10" s="76" t="s">
        <v>20</v>
      </c>
      <c r="D10" s="45" t="s">
        <v>36</v>
      </c>
      <c r="E10" s="45" t="s">
        <v>14</v>
      </c>
      <c r="F10" s="45" t="s">
        <v>103</v>
      </c>
      <c r="G10" s="33">
        <v>45000</v>
      </c>
      <c r="H10" s="33">
        <v>1291.5</v>
      </c>
      <c r="I10" s="33">
        <v>1148.32</v>
      </c>
      <c r="J10" s="46">
        <v>1368</v>
      </c>
      <c r="K10" s="33">
        <v>25</v>
      </c>
      <c r="L10" s="46">
        <f>H10+I10+J10+K10</f>
        <v>3832.8199999999997</v>
      </c>
      <c r="M10" s="36">
        <f>+G10-L10</f>
        <v>41167.18</v>
      </c>
    </row>
    <row r="11" spans="1:13" ht="30" customHeight="1">
      <c r="A11" s="78">
        <v>2</v>
      </c>
      <c r="B11" s="47" t="s">
        <v>65</v>
      </c>
      <c r="C11" s="47" t="s">
        <v>93</v>
      </c>
      <c r="D11" s="45" t="s">
        <v>37</v>
      </c>
      <c r="E11" s="45" t="s">
        <v>14</v>
      </c>
      <c r="F11" s="45" t="s">
        <v>103</v>
      </c>
      <c r="G11" s="69">
        <v>115000</v>
      </c>
      <c r="H11" s="69">
        <f>G11*2.87%</f>
        <v>3300.5</v>
      </c>
      <c r="I11" s="69">
        <v>15633.81</v>
      </c>
      <c r="J11" s="69">
        <v>3496</v>
      </c>
      <c r="K11" s="69">
        <v>3125</v>
      </c>
      <c r="L11" s="69">
        <f t="shared" ref="L11" si="0">H11+I11+J11+K11</f>
        <v>25555.309999999998</v>
      </c>
      <c r="M11" s="79">
        <f>+G11-L11</f>
        <v>89444.69</v>
      </c>
    </row>
    <row r="12" spans="1:13" ht="30" customHeight="1">
      <c r="A12" s="34" t="s">
        <v>49</v>
      </c>
      <c r="B12" s="80"/>
      <c r="C12" s="80"/>
      <c r="D12" s="80"/>
      <c r="E12" s="80"/>
      <c r="F12" s="80" t="s">
        <v>18</v>
      </c>
      <c r="G12" s="14">
        <f t="shared" ref="G12:L12" si="1">SUM(G10:G11)</f>
        <v>160000</v>
      </c>
      <c r="H12" s="14">
        <f t="shared" si="1"/>
        <v>4592</v>
      </c>
      <c r="I12" s="48">
        <f>SUM(I10:I11)</f>
        <v>16782.13</v>
      </c>
      <c r="J12" s="14">
        <f t="shared" si="1"/>
        <v>4864</v>
      </c>
      <c r="K12" s="14">
        <f>SUM(K10:K11)</f>
        <v>3150</v>
      </c>
      <c r="L12" s="14">
        <f t="shared" si="1"/>
        <v>29388.129999999997</v>
      </c>
      <c r="M12" s="35">
        <f>SUM(M10:M11)</f>
        <v>130611.87</v>
      </c>
    </row>
    <row r="13" spans="1:13" ht="30" customHeight="1" thickBot="1">
      <c r="A13" s="202" t="s">
        <v>80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4"/>
    </row>
    <row r="14" spans="1:13" ht="30" customHeight="1" thickBot="1">
      <c r="A14" s="49" t="s">
        <v>0</v>
      </c>
      <c r="B14" s="49" t="s">
        <v>1</v>
      </c>
      <c r="C14" s="49" t="s">
        <v>2</v>
      </c>
      <c r="D14" s="49" t="s">
        <v>35</v>
      </c>
      <c r="E14" s="49" t="s">
        <v>3</v>
      </c>
      <c r="F14" s="49" t="s">
        <v>13</v>
      </c>
      <c r="G14" s="49" t="s">
        <v>54</v>
      </c>
      <c r="H14" s="49" t="s">
        <v>4</v>
      </c>
      <c r="I14" s="49" t="s">
        <v>6</v>
      </c>
      <c r="J14" s="49" t="s">
        <v>5</v>
      </c>
      <c r="K14" s="49" t="s">
        <v>57</v>
      </c>
      <c r="L14" s="49" t="s">
        <v>56</v>
      </c>
      <c r="M14" s="49" t="s">
        <v>55</v>
      </c>
    </row>
    <row r="15" spans="1:13" ht="30" customHeight="1">
      <c r="A15" s="45">
        <v>3</v>
      </c>
      <c r="B15" s="76" t="s">
        <v>78</v>
      </c>
      <c r="C15" s="47" t="s">
        <v>79</v>
      </c>
      <c r="D15" s="45" t="s">
        <v>37</v>
      </c>
      <c r="E15" s="45" t="s">
        <v>14</v>
      </c>
      <c r="F15" s="45" t="s">
        <v>103</v>
      </c>
      <c r="G15" s="5">
        <v>55000</v>
      </c>
      <c r="H15" s="5">
        <v>1578.5</v>
      </c>
      <c r="I15" s="5">
        <v>2559.67</v>
      </c>
      <c r="J15" s="69">
        <v>1672</v>
      </c>
      <c r="K15" s="5">
        <v>26153.33</v>
      </c>
      <c r="L15" s="69">
        <f>H15+I15+J15+K15</f>
        <v>31963.5</v>
      </c>
      <c r="M15" s="5">
        <f>+G15-L15</f>
        <v>23036.5</v>
      </c>
    </row>
    <row r="16" spans="1:13" ht="30" customHeight="1">
      <c r="A16" s="6" t="s">
        <v>49</v>
      </c>
      <c r="B16" s="50"/>
      <c r="C16" s="50"/>
      <c r="D16" s="50"/>
      <c r="E16" s="50"/>
      <c r="F16" s="50" t="s">
        <v>18</v>
      </c>
      <c r="G16" s="7">
        <f t="shared" ref="G16:M16" si="2">SUM(G15:G15)</f>
        <v>55000</v>
      </c>
      <c r="H16" s="7">
        <f t="shared" si="2"/>
        <v>1578.5</v>
      </c>
      <c r="I16" s="7">
        <f>SUM(I15:I15)</f>
        <v>2559.67</v>
      </c>
      <c r="J16" s="8">
        <f t="shared" si="2"/>
        <v>1672</v>
      </c>
      <c r="K16" s="8">
        <f t="shared" si="2"/>
        <v>26153.33</v>
      </c>
      <c r="L16" s="8">
        <f t="shared" si="2"/>
        <v>31963.5</v>
      </c>
      <c r="M16" s="8">
        <f t="shared" si="2"/>
        <v>23036.5</v>
      </c>
    </row>
    <row r="17" spans="1:13" ht="27.75" customHeight="1" thickBot="1">
      <c r="A17" s="202" t="s">
        <v>96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4"/>
    </row>
    <row r="18" spans="1:13" ht="30" customHeight="1" thickBot="1">
      <c r="A18" s="51" t="s">
        <v>0</v>
      </c>
      <c r="B18" s="51" t="s">
        <v>1</v>
      </c>
      <c r="C18" s="51" t="s">
        <v>2</v>
      </c>
      <c r="D18" s="51" t="s">
        <v>35</v>
      </c>
      <c r="E18" s="51" t="s">
        <v>3</v>
      </c>
      <c r="F18" s="51" t="s">
        <v>13</v>
      </c>
      <c r="G18" s="81" t="s">
        <v>54</v>
      </c>
      <c r="H18" s="81" t="s">
        <v>4</v>
      </c>
      <c r="I18" s="81" t="s">
        <v>6</v>
      </c>
      <c r="J18" s="81" t="s">
        <v>5</v>
      </c>
      <c r="K18" s="81" t="s">
        <v>57</v>
      </c>
      <c r="L18" s="81" t="s">
        <v>56</v>
      </c>
      <c r="M18" s="81" t="s">
        <v>55</v>
      </c>
    </row>
    <row r="19" spans="1:13" ht="30" customHeight="1">
      <c r="A19" s="45">
        <v>4</v>
      </c>
      <c r="B19" s="47" t="s">
        <v>97</v>
      </c>
      <c r="C19" s="47" t="s">
        <v>98</v>
      </c>
      <c r="D19" s="45" t="s">
        <v>36</v>
      </c>
      <c r="E19" s="45" t="s">
        <v>14</v>
      </c>
      <c r="F19" s="45" t="s">
        <v>117</v>
      </c>
      <c r="G19" s="46">
        <v>55000</v>
      </c>
      <c r="H19" s="46">
        <v>1578.5</v>
      </c>
      <c r="I19" s="46">
        <v>2559.67</v>
      </c>
      <c r="J19" s="46">
        <v>1672</v>
      </c>
      <c r="K19" s="46">
        <v>225</v>
      </c>
      <c r="L19" s="46">
        <f>H19+I19+J19+K19</f>
        <v>6035.17</v>
      </c>
      <c r="M19" s="46">
        <f>+G19-L19</f>
        <v>48964.83</v>
      </c>
    </row>
    <row r="20" spans="1:13" ht="30" customHeight="1">
      <c r="A20" s="45">
        <v>5</v>
      </c>
      <c r="B20" s="47" t="s">
        <v>122</v>
      </c>
      <c r="C20" s="47" t="s">
        <v>123</v>
      </c>
      <c r="D20" s="45" t="s">
        <v>37</v>
      </c>
      <c r="E20" s="45" t="s">
        <v>14</v>
      </c>
      <c r="F20" s="45" t="s">
        <v>124</v>
      </c>
      <c r="G20" s="46">
        <v>122500</v>
      </c>
      <c r="H20" s="46">
        <v>3515.75</v>
      </c>
      <c r="I20" s="46">
        <v>17398</v>
      </c>
      <c r="J20" s="46">
        <v>3724</v>
      </c>
      <c r="K20" s="46">
        <v>25</v>
      </c>
      <c r="L20" s="46">
        <f>H20+I20+J20+K20</f>
        <v>24662.75</v>
      </c>
      <c r="M20" s="46">
        <f>G20-L20</f>
        <v>97837.25</v>
      </c>
    </row>
    <row r="21" spans="1:13" ht="30" customHeight="1">
      <c r="A21" s="45">
        <v>6</v>
      </c>
      <c r="B21" s="47" t="s">
        <v>125</v>
      </c>
      <c r="C21" s="47" t="s">
        <v>98</v>
      </c>
      <c r="D21" s="45" t="s">
        <v>36</v>
      </c>
      <c r="E21" s="45" t="s">
        <v>14</v>
      </c>
      <c r="F21" s="45" t="s">
        <v>126</v>
      </c>
      <c r="G21" s="46">
        <v>60000</v>
      </c>
      <c r="H21" s="46">
        <v>1722</v>
      </c>
      <c r="I21" s="46">
        <v>3486.65</v>
      </c>
      <c r="J21" s="46">
        <v>1824</v>
      </c>
      <c r="K21" s="46">
        <v>25</v>
      </c>
      <c r="L21" s="46">
        <f>H21+I21+J21+K21</f>
        <v>7057.65</v>
      </c>
      <c r="M21" s="46">
        <f>G21-L21</f>
        <v>52942.35</v>
      </c>
    </row>
    <row r="22" spans="1:13" ht="30" customHeight="1">
      <c r="A22" s="6" t="s">
        <v>49</v>
      </c>
      <c r="B22" s="50"/>
      <c r="C22" s="50"/>
      <c r="D22" s="50"/>
      <c r="E22" s="50"/>
      <c r="F22" s="50" t="s">
        <v>18</v>
      </c>
      <c r="G22" s="7">
        <f t="shared" ref="G22:M22" si="3">G19+G20+G21</f>
        <v>237500</v>
      </c>
      <c r="H22" s="7">
        <f t="shared" si="3"/>
        <v>6816.25</v>
      </c>
      <c r="I22" s="7">
        <f t="shared" si="3"/>
        <v>23444.32</v>
      </c>
      <c r="J22" s="7">
        <f t="shared" si="3"/>
        <v>7220</v>
      </c>
      <c r="K22" s="7">
        <f t="shared" si="3"/>
        <v>275</v>
      </c>
      <c r="L22" s="7">
        <f t="shared" si="3"/>
        <v>37755.57</v>
      </c>
      <c r="M22" s="7">
        <f t="shared" si="3"/>
        <v>199744.43000000002</v>
      </c>
    </row>
    <row r="23" spans="1:13" ht="27.75" customHeight="1" thickBot="1">
      <c r="A23" s="202" t="s">
        <v>82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4"/>
    </row>
    <row r="24" spans="1:13" ht="30" customHeight="1" thickBot="1">
      <c r="A24" s="51" t="s">
        <v>0</v>
      </c>
      <c r="B24" s="51" t="s">
        <v>1</v>
      </c>
      <c r="C24" s="51" t="s">
        <v>2</v>
      </c>
      <c r="D24" s="51" t="s">
        <v>35</v>
      </c>
      <c r="E24" s="51" t="s">
        <v>3</v>
      </c>
      <c r="F24" s="51" t="s">
        <v>13</v>
      </c>
      <c r="G24" s="51" t="s">
        <v>54</v>
      </c>
      <c r="H24" s="51" t="s">
        <v>4</v>
      </c>
      <c r="I24" s="51" t="s">
        <v>6</v>
      </c>
      <c r="J24" s="51" t="s">
        <v>5</v>
      </c>
      <c r="K24" s="51" t="s">
        <v>57</v>
      </c>
      <c r="L24" s="51" t="s">
        <v>56</v>
      </c>
      <c r="M24" s="51" t="s">
        <v>55</v>
      </c>
    </row>
    <row r="25" spans="1:13" ht="30" customHeight="1">
      <c r="A25" s="45">
        <v>7</v>
      </c>
      <c r="B25" s="47" t="s">
        <v>102</v>
      </c>
      <c r="C25" s="47" t="s">
        <v>60</v>
      </c>
      <c r="D25" s="45" t="s">
        <v>37</v>
      </c>
      <c r="E25" s="45" t="s">
        <v>14</v>
      </c>
      <c r="F25" s="45" t="s">
        <v>110</v>
      </c>
      <c r="G25" s="77">
        <v>122500</v>
      </c>
      <c r="H25" s="77">
        <v>3515.75</v>
      </c>
      <c r="I25" s="77">
        <v>16438.11</v>
      </c>
      <c r="J25" s="77">
        <v>3724</v>
      </c>
      <c r="K25" s="77">
        <v>6314.56</v>
      </c>
      <c r="L25" s="77">
        <f>H25+I25+J25+K25</f>
        <v>29992.420000000002</v>
      </c>
      <c r="M25" s="77">
        <f>+G25-L25</f>
        <v>92507.58</v>
      </c>
    </row>
    <row r="26" spans="1:13" ht="30" customHeight="1">
      <c r="A26" s="45">
        <v>8</v>
      </c>
      <c r="B26" s="47" t="s">
        <v>91</v>
      </c>
      <c r="C26" s="47" t="s">
        <v>92</v>
      </c>
      <c r="D26" s="50" t="s">
        <v>37</v>
      </c>
      <c r="E26" s="45" t="s">
        <v>14</v>
      </c>
      <c r="F26" s="45" t="s">
        <v>103</v>
      </c>
      <c r="G26" s="46">
        <v>65000</v>
      </c>
      <c r="H26" s="46">
        <f>G26*0.0287</f>
        <v>1865.5</v>
      </c>
      <c r="I26" s="46">
        <v>4427.55</v>
      </c>
      <c r="J26" s="46">
        <v>1976</v>
      </c>
      <c r="K26" s="46">
        <v>3468.5</v>
      </c>
      <c r="L26" s="46">
        <f>H26+I26+J26+K26</f>
        <v>11737.55</v>
      </c>
      <c r="M26" s="46">
        <f>G26-L26</f>
        <v>53262.45</v>
      </c>
    </row>
    <row r="27" spans="1:13" ht="30" customHeight="1">
      <c r="A27" s="45">
        <v>9</v>
      </c>
      <c r="B27" s="47" t="s">
        <v>100</v>
      </c>
      <c r="C27" s="47" t="s">
        <v>101</v>
      </c>
      <c r="D27" s="45" t="s">
        <v>37</v>
      </c>
      <c r="E27" s="45" t="s">
        <v>14</v>
      </c>
      <c r="F27" s="45" t="s">
        <v>116</v>
      </c>
      <c r="G27" s="69">
        <v>55000</v>
      </c>
      <c r="H27" s="69">
        <v>1578.5</v>
      </c>
      <c r="I27" s="69">
        <v>2559.67</v>
      </c>
      <c r="J27" s="69">
        <v>1672</v>
      </c>
      <c r="K27" s="69">
        <v>1125</v>
      </c>
      <c r="L27" s="69">
        <f>H27+I27+J27+K27</f>
        <v>6935.17</v>
      </c>
      <c r="M27" s="69">
        <f>G27-L27</f>
        <v>48064.83</v>
      </c>
    </row>
    <row r="28" spans="1:13" ht="30" customHeight="1" thickBot="1">
      <c r="A28" s="6" t="s">
        <v>49</v>
      </c>
      <c r="B28" s="50"/>
      <c r="C28" s="50"/>
      <c r="D28" s="50"/>
      <c r="E28" s="50"/>
      <c r="F28" s="50" t="s">
        <v>18</v>
      </c>
      <c r="G28" s="7">
        <f t="shared" ref="G28:M28" si="4">SUM(G25:G27)</f>
        <v>242500</v>
      </c>
      <c r="H28" s="7">
        <f t="shared" si="4"/>
        <v>6959.75</v>
      </c>
      <c r="I28" s="7">
        <f t="shared" si="4"/>
        <v>23425.33</v>
      </c>
      <c r="J28" s="7">
        <f t="shared" si="4"/>
        <v>7372</v>
      </c>
      <c r="K28" s="7">
        <f t="shared" si="4"/>
        <v>10908.060000000001</v>
      </c>
      <c r="L28" s="7">
        <f t="shared" si="4"/>
        <v>48665.14</v>
      </c>
      <c r="M28" s="7">
        <f t="shared" si="4"/>
        <v>193834.86</v>
      </c>
    </row>
    <row r="29" spans="1:13" ht="30" customHeight="1" thickBot="1">
      <c r="A29" s="191" t="s">
        <v>64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5"/>
    </row>
    <row r="30" spans="1:13" ht="30" customHeight="1" thickBot="1">
      <c r="A30" s="51" t="s">
        <v>0</v>
      </c>
      <c r="B30" s="51" t="s">
        <v>1</v>
      </c>
      <c r="C30" s="51" t="s">
        <v>2</v>
      </c>
      <c r="D30" s="51" t="s">
        <v>35</v>
      </c>
      <c r="E30" s="51" t="s">
        <v>3</v>
      </c>
      <c r="F30" s="51" t="s">
        <v>13</v>
      </c>
      <c r="G30" s="51" t="s">
        <v>54</v>
      </c>
      <c r="H30" s="51" t="s">
        <v>4</v>
      </c>
      <c r="I30" s="51" t="s">
        <v>6</v>
      </c>
      <c r="J30" s="51" t="s">
        <v>5</v>
      </c>
      <c r="K30" s="51" t="s">
        <v>57</v>
      </c>
      <c r="L30" s="51" t="s">
        <v>56</v>
      </c>
      <c r="M30" s="51" t="s">
        <v>55</v>
      </c>
    </row>
    <row r="31" spans="1:13" ht="30" customHeight="1">
      <c r="A31" s="45">
        <v>10</v>
      </c>
      <c r="B31" s="47" t="s">
        <v>62</v>
      </c>
      <c r="C31" s="76" t="s">
        <v>63</v>
      </c>
      <c r="D31" s="45" t="s">
        <v>37</v>
      </c>
      <c r="E31" s="45" t="s">
        <v>14</v>
      </c>
      <c r="F31" s="45" t="s">
        <v>119</v>
      </c>
      <c r="G31" s="69">
        <v>45000</v>
      </c>
      <c r="H31" s="69">
        <f>G31*2.87%</f>
        <v>1291.5</v>
      </c>
      <c r="I31" s="69">
        <v>1148.32</v>
      </c>
      <c r="J31" s="15">
        <v>1368</v>
      </c>
      <c r="K31" s="69">
        <v>1125</v>
      </c>
      <c r="L31" s="69">
        <f>H31+I31+J31+K31</f>
        <v>4932.82</v>
      </c>
      <c r="M31" s="69">
        <f>+G31-L31</f>
        <v>40067.18</v>
      </c>
    </row>
    <row r="32" spans="1:13" ht="30" customHeight="1">
      <c r="A32" s="6" t="s">
        <v>49</v>
      </c>
      <c r="B32" s="50"/>
      <c r="C32" s="50"/>
      <c r="D32" s="50"/>
      <c r="E32" s="50"/>
      <c r="F32" s="50" t="s">
        <v>18</v>
      </c>
      <c r="G32" s="7">
        <f>+G31</f>
        <v>45000</v>
      </c>
      <c r="H32" s="7">
        <f>+H31</f>
        <v>1291.5</v>
      </c>
      <c r="I32" s="7">
        <v>1148.32</v>
      </c>
      <c r="J32" s="7">
        <v>1368</v>
      </c>
      <c r="K32" s="7">
        <f>+K31</f>
        <v>1125</v>
      </c>
      <c r="L32" s="7">
        <f>+L31</f>
        <v>4932.82</v>
      </c>
      <c r="M32" s="7">
        <f>+M31</f>
        <v>40067.18</v>
      </c>
    </row>
    <row r="33" spans="1:13" ht="30" customHeight="1" thickBot="1">
      <c r="A33" s="6"/>
      <c r="B33" s="50"/>
      <c r="C33" s="50"/>
      <c r="D33" s="50"/>
      <c r="E33" s="50"/>
      <c r="F33" s="50"/>
      <c r="G33" s="7"/>
      <c r="H33" s="7"/>
      <c r="I33" s="7"/>
      <c r="J33" s="7"/>
      <c r="K33" s="7"/>
      <c r="L33" s="7"/>
      <c r="M33" s="7"/>
    </row>
    <row r="34" spans="1:13" ht="30" customHeight="1" thickBot="1">
      <c r="A34" s="205" t="s">
        <v>89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4"/>
    </row>
    <row r="35" spans="1:13" ht="30" customHeight="1" thickBot="1">
      <c r="A35" s="52" t="s">
        <v>0</v>
      </c>
      <c r="B35" s="53" t="s">
        <v>1</v>
      </c>
      <c r="C35" s="53" t="s">
        <v>2</v>
      </c>
      <c r="D35" s="53" t="s">
        <v>35</v>
      </c>
      <c r="E35" s="53" t="s">
        <v>3</v>
      </c>
      <c r="F35" s="53" t="s">
        <v>13</v>
      </c>
      <c r="G35" s="53" t="s">
        <v>54</v>
      </c>
      <c r="H35" s="53" t="s">
        <v>4</v>
      </c>
      <c r="I35" s="53" t="s">
        <v>6</v>
      </c>
      <c r="J35" s="53" t="s">
        <v>5</v>
      </c>
      <c r="K35" s="53" t="s">
        <v>57</v>
      </c>
      <c r="L35" s="53" t="s">
        <v>56</v>
      </c>
      <c r="M35" s="54" t="s">
        <v>55</v>
      </c>
    </row>
    <row r="36" spans="1:13" ht="30" customHeight="1">
      <c r="A36" s="16">
        <v>11</v>
      </c>
      <c r="B36" s="70" t="s">
        <v>11</v>
      </c>
      <c r="C36" s="70" t="s">
        <v>67</v>
      </c>
      <c r="D36" s="71" t="s">
        <v>36</v>
      </c>
      <c r="E36" s="45" t="s">
        <v>14</v>
      </c>
      <c r="F36" s="45" t="s">
        <v>103</v>
      </c>
      <c r="G36" s="72">
        <v>82500</v>
      </c>
      <c r="H36" s="72">
        <f>G36*0.0287</f>
        <v>2367.75</v>
      </c>
      <c r="I36" s="72">
        <v>7989</v>
      </c>
      <c r="J36" s="72">
        <v>2508</v>
      </c>
      <c r="K36" s="72">
        <v>15492.2</v>
      </c>
      <c r="L36" s="72">
        <f>SUM(H36:K36)</f>
        <v>28356.95</v>
      </c>
      <c r="M36" s="72">
        <f>+G36-L36</f>
        <v>54143.05</v>
      </c>
    </row>
    <row r="37" spans="1:13" ht="30" customHeight="1">
      <c r="A37" s="6" t="s">
        <v>49</v>
      </c>
      <c r="B37" s="9"/>
      <c r="C37" s="9"/>
      <c r="D37" s="10"/>
      <c r="E37" s="10"/>
      <c r="F37" s="10"/>
      <c r="G37" s="7">
        <f t="shared" ref="G37:M37" si="5">SUM(G36:G36)</f>
        <v>82500</v>
      </c>
      <c r="H37" s="8">
        <f t="shared" si="5"/>
        <v>2367.75</v>
      </c>
      <c r="I37" s="8">
        <f t="shared" si="5"/>
        <v>7989</v>
      </c>
      <c r="J37" s="8">
        <f t="shared" si="5"/>
        <v>2508</v>
      </c>
      <c r="K37" s="8">
        <f t="shared" si="5"/>
        <v>15492.2</v>
      </c>
      <c r="L37" s="8">
        <f t="shared" si="5"/>
        <v>28356.95</v>
      </c>
      <c r="M37" s="8">
        <f t="shared" si="5"/>
        <v>54143.05</v>
      </c>
    </row>
    <row r="38" spans="1:13" ht="30" customHeight="1">
      <c r="A38" s="6"/>
      <c r="B38" s="50"/>
      <c r="C38" s="50"/>
      <c r="D38" s="50"/>
      <c r="E38" s="50"/>
      <c r="G38" s="7"/>
      <c r="H38" s="7"/>
      <c r="I38" s="7"/>
      <c r="J38" s="7"/>
      <c r="K38" s="7"/>
      <c r="L38" s="7"/>
      <c r="M38" s="7"/>
    </row>
    <row r="39" spans="1:13" ht="30" customHeight="1" thickBot="1">
      <c r="A39" s="6"/>
      <c r="B39" s="50"/>
      <c r="C39" s="50"/>
      <c r="D39" s="50"/>
      <c r="E39" s="50"/>
      <c r="G39" s="7"/>
      <c r="H39" s="7"/>
      <c r="I39" s="7"/>
      <c r="J39" s="7"/>
      <c r="K39" s="7"/>
      <c r="L39" s="7"/>
      <c r="M39" s="7"/>
    </row>
    <row r="40" spans="1:13" ht="30" customHeight="1" thickBot="1">
      <c r="A40" s="191" t="s">
        <v>83</v>
      </c>
      <c r="B40" s="192"/>
      <c r="C40" s="192"/>
      <c r="D40" s="192"/>
      <c r="E40" s="192"/>
      <c r="F40" s="192"/>
      <c r="G40" s="193"/>
      <c r="H40" s="193"/>
      <c r="I40" s="193"/>
      <c r="J40" s="193"/>
      <c r="K40" s="193"/>
      <c r="L40" s="193"/>
      <c r="M40" s="194"/>
    </row>
    <row r="41" spans="1:13" ht="30" customHeight="1" thickBot="1">
      <c r="A41" s="51" t="s">
        <v>0</v>
      </c>
      <c r="B41" s="51" t="s">
        <v>1</v>
      </c>
      <c r="C41" s="51" t="s">
        <v>2</v>
      </c>
      <c r="D41" s="51" t="s">
        <v>35</v>
      </c>
      <c r="E41" s="51" t="s">
        <v>3</v>
      </c>
      <c r="F41" s="55" t="s">
        <v>13</v>
      </c>
      <c r="G41" s="52" t="s">
        <v>54</v>
      </c>
      <c r="H41" s="53" t="s">
        <v>4</v>
      </c>
      <c r="I41" s="53" t="s">
        <v>6</v>
      </c>
      <c r="J41" s="53" t="s">
        <v>5</v>
      </c>
      <c r="K41" s="53" t="s">
        <v>57</v>
      </c>
      <c r="L41" s="53" t="s">
        <v>56</v>
      </c>
      <c r="M41" s="56" t="s">
        <v>55</v>
      </c>
    </row>
    <row r="42" spans="1:13" ht="30" customHeight="1">
      <c r="A42" s="16">
        <v>12</v>
      </c>
      <c r="B42" s="70" t="s">
        <v>12</v>
      </c>
      <c r="C42" s="70" t="s">
        <v>9</v>
      </c>
      <c r="D42" s="71" t="s">
        <v>36</v>
      </c>
      <c r="E42" s="45" t="s">
        <v>14</v>
      </c>
      <c r="F42" s="45" t="s">
        <v>118</v>
      </c>
      <c r="G42" s="73">
        <v>48000</v>
      </c>
      <c r="H42" s="73">
        <v>1377.6</v>
      </c>
      <c r="I42" s="73">
        <v>1571.73</v>
      </c>
      <c r="J42" s="73">
        <f>IF(G42&lt;75829.93,G42*0.0304,2305.23)</f>
        <v>1459.2</v>
      </c>
      <c r="K42" s="73">
        <v>225</v>
      </c>
      <c r="L42" s="73">
        <f>H42+J42+I42+K42</f>
        <v>4633.5300000000007</v>
      </c>
      <c r="M42" s="73">
        <f t="shared" ref="M42" si="6">+G42-L42</f>
        <v>43366.47</v>
      </c>
    </row>
    <row r="43" spans="1:13" ht="30" customHeight="1">
      <c r="A43" s="16">
        <v>13</v>
      </c>
      <c r="B43" s="70" t="s">
        <v>108</v>
      </c>
      <c r="C43" s="70" t="s">
        <v>109</v>
      </c>
      <c r="D43" s="71" t="s">
        <v>36</v>
      </c>
      <c r="E43" s="45" t="s">
        <v>14</v>
      </c>
      <c r="F43" s="45" t="s">
        <v>110</v>
      </c>
      <c r="G43" s="75">
        <v>65000</v>
      </c>
      <c r="H43" s="75">
        <v>1865.5</v>
      </c>
      <c r="I43" s="75">
        <v>4043.59</v>
      </c>
      <c r="J43" s="75">
        <v>1976</v>
      </c>
      <c r="K43" s="75">
        <v>2144.7800000000002</v>
      </c>
      <c r="L43" s="75">
        <f>H43+I43+J43+K43</f>
        <v>10029.870000000001</v>
      </c>
      <c r="M43" s="75">
        <f>G43-L43</f>
        <v>54970.13</v>
      </c>
    </row>
    <row r="44" spans="1:13" ht="30" customHeight="1" thickBot="1">
      <c r="A44" s="6" t="s">
        <v>49</v>
      </c>
      <c r="B44" s="47"/>
      <c r="C44" s="47"/>
      <c r="D44" s="50"/>
      <c r="E44" s="50"/>
      <c r="F44" s="50"/>
      <c r="G44" s="7">
        <f>SUM(G42:G43)</f>
        <v>113000</v>
      </c>
      <c r="H44" s="7">
        <f>SUM(H42:H43)</f>
        <v>3243.1</v>
      </c>
      <c r="I44" s="32" t="s">
        <v>107</v>
      </c>
      <c r="J44" s="67">
        <f>SUM(J42:J43)</f>
        <v>3435.2</v>
      </c>
      <c r="K44" s="7">
        <f>SUM(K42:K43)</f>
        <v>2369.7800000000002</v>
      </c>
      <c r="L44" s="7">
        <f>SUM(L42:L43)</f>
        <v>14663.400000000001</v>
      </c>
      <c r="M44" s="7">
        <f>SUM(M42:M43)</f>
        <v>98336.6</v>
      </c>
    </row>
    <row r="45" spans="1:13" ht="30" customHeight="1" thickBot="1">
      <c r="A45" s="191" t="s">
        <v>90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5"/>
    </row>
    <row r="46" spans="1:13" ht="30" customHeight="1" thickBot="1">
      <c r="A46" s="51" t="s">
        <v>0</v>
      </c>
      <c r="B46" s="51" t="s">
        <v>1</v>
      </c>
      <c r="C46" s="51" t="s">
        <v>2</v>
      </c>
      <c r="D46" s="51" t="s">
        <v>35</v>
      </c>
      <c r="E46" s="51" t="s">
        <v>3</v>
      </c>
      <c r="F46" s="51" t="s">
        <v>13</v>
      </c>
      <c r="G46" s="51" t="s">
        <v>54</v>
      </c>
      <c r="H46" s="51" t="s">
        <v>4</v>
      </c>
      <c r="I46" s="51" t="s">
        <v>6</v>
      </c>
      <c r="J46" s="51" t="s">
        <v>5</v>
      </c>
      <c r="K46" s="51" t="s">
        <v>57</v>
      </c>
      <c r="L46" s="51" t="s">
        <v>56</v>
      </c>
      <c r="M46" s="51" t="s">
        <v>55</v>
      </c>
    </row>
    <row r="47" spans="1:13" ht="30" customHeight="1">
      <c r="A47" s="45">
        <v>14</v>
      </c>
      <c r="B47" s="47" t="s">
        <v>70</v>
      </c>
      <c r="C47" s="47" t="s">
        <v>74</v>
      </c>
      <c r="D47" s="50" t="s">
        <v>36</v>
      </c>
      <c r="E47" s="45" t="s">
        <v>14</v>
      </c>
      <c r="F47" s="74" t="s">
        <v>115</v>
      </c>
      <c r="G47" s="46">
        <v>90000</v>
      </c>
      <c r="H47" s="46">
        <f>G47*0.0287</f>
        <v>2583</v>
      </c>
      <c r="I47" s="46">
        <v>9273.24</v>
      </c>
      <c r="J47" s="46">
        <v>2736</v>
      </c>
      <c r="K47" s="46">
        <v>1944.78</v>
      </c>
      <c r="L47" s="46">
        <f>+H47+J47+I47+K47</f>
        <v>16537.02</v>
      </c>
      <c r="M47" s="46">
        <f>G47-L47</f>
        <v>73462.98</v>
      </c>
    </row>
    <row r="48" spans="1:13" ht="30" customHeight="1">
      <c r="A48" s="45">
        <v>15</v>
      </c>
      <c r="B48" s="47" t="s">
        <v>71</v>
      </c>
      <c r="C48" s="47" t="s">
        <v>76</v>
      </c>
      <c r="D48" s="50" t="s">
        <v>37</v>
      </c>
      <c r="E48" s="45" t="s">
        <v>14</v>
      </c>
      <c r="F48" s="74" t="s">
        <v>115</v>
      </c>
      <c r="G48" s="46">
        <v>80000</v>
      </c>
      <c r="H48" s="46">
        <f>G48*0.0287</f>
        <v>2296</v>
      </c>
      <c r="I48" s="46">
        <v>7400.94</v>
      </c>
      <c r="J48" s="46">
        <v>2432</v>
      </c>
      <c r="K48" s="46">
        <v>1625</v>
      </c>
      <c r="L48" s="46">
        <f>+H48+J48+I48+K48</f>
        <v>13753.939999999999</v>
      </c>
      <c r="M48" s="46">
        <f>+G48-L48</f>
        <v>66246.06</v>
      </c>
    </row>
    <row r="49" spans="1:13" ht="30" customHeight="1">
      <c r="A49" s="45">
        <v>16</v>
      </c>
      <c r="B49" s="47" t="s">
        <v>69</v>
      </c>
      <c r="C49" s="47" t="s">
        <v>75</v>
      </c>
      <c r="D49" s="50" t="s">
        <v>36</v>
      </c>
      <c r="E49" s="45" t="s">
        <v>14</v>
      </c>
      <c r="F49" s="45" t="s">
        <v>103</v>
      </c>
      <c r="G49" s="69">
        <v>101500</v>
      </c>
      <c r="H49" s="69">
        <f>G49*0.0287</f>
        <v>2913.05</v>
      </c>
      <c r="I49" s="69">
        <v>11978.33</v>
      </c>
      <c r="J49" s="69">
        <v>3085.6</v>
      </c>
      <c r="K49" s="69">
        <v>2144.7800000000002</v>
      </c>
      <c r="L49" s="69">
        <f>H49+I49+J49+K49</f>
        <v>20121.759999999998</v>
      </c>
      <c r="M49" s="69">
        <f>+G49-L49</f>
        <v>81378.240000000005</v>
      </c>
    </row>
    <row r="50" spans="1:13" ht="30" customHeight="1" thickBot="1">
      <c r="A50" s="6" t="s">
        <v>49</v>
      </c>
      <c r="B50" s="10"/>
      <c r="C50" s="10"/>
      <c r="D50" s="10"/>
      <c r="E50" s="10"/>
      <c r="F50" s="10"/>
      <c r="G50" s="7">
        <f t="shared" ref="G50:M50" si="7">SUM(G47:G49)</f>
        <v>271500</v>
      </c>
      <c r="H50" s="7">
        <f t="shared" si="7"/>
        <v>7792.05</v>
      </c>
      <c r="I50" s="7">
        <f t="shared" si="7"/>
        <v>28652.510000000002</v>
      </c>
      <c r="J50" s="7">
        <f t="shared" si="7"/>
        <v>8253.6</v>
      </c>
      <c r="K50" s="7">
        <f t="shared" si="7"/>
        <v>5714.5599999999995</v>
      </c>
      <c r="L50" s="7">
        <f t="shared" si="7"/>
        <v>50412.72</v>
      </c>
      <c r="M50" s="7">
        <f t="shared" si="7"/>
        <v>221087.27999999997</v>
      </c>
    </row>
    <row r="51" spans="1:13" ht="30" customHeight="1" thickBot="1">
      <c r="A51" s="57" t="s">
        <v>39</v>
      </c>
      <c r="B51" s="58" t="s">
        <v>52</v>
      </c>
      <c r="C51" s="59" t="s">
        <v>40</v>
      </c>
      <c r="D51" s="59" t="s">
        <v>45</v>
      </c>
      <c r="E51" s="59" t="s">
        <v>42</v>
      </c>
      <c r="F51" s="59"/>
      <c r="G51" s="59" t="s">
        <v>53</v>
      </c>
      <c r="H51" s="59" t="s">
        <v>43</v>
      </c>
      <c r="I51" s="59" t="s">
        <v>21</v>
      </c>
      <c r="J51" s="59" t="s">
        <v>38</v>
      </c>
      <c r="K51" s="59" t="s">
        <v>44</v>
      </c>
      <c r="L51" s="59"/>
      <c r="M51" s="60"/>
    </row>
    <row r="52" spans="1:13" ht="30" customHeight="1" thickBot="1">
      <c r="A52" s="191" t="s">
        <v>84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5"/>
    </row>
    <row r="53" spans="1:13" ht="30" customHeight="1" thickBot="1">
      <c r="A53" s="51" t="s">
        <v>0</v>
      </c>
      <c r="B53" s="51" t="s">
        <v>1</v>
      </c>
      <c r="C53" s="51" t="s">
        <v>2</v>
      </c>
      <c r="D53" s="51" t="s">
        <v>35</v>
      </c>
      <c r="E53" s="51" t="s">
        <v>3</v>
      </c>
      <c r="F53" s="51" t="s">
        <v>13</v>
      </c>
      <c r="G53" s="51" t="s">
        <v>54</v>
      </c>
      <c r="H53" s="51" t="s">
        <v>4</v>
      </c>
      <c r="I53" s="51" t="s">
        <v>6</v>
      </c>
      <c r="J53" s="51" t="s">
        <v>5</v>
      </c>
      <c r="K53" s="51" t="s">
        <v>57</v>
      </c>
      <c r="L53" s="51" t="s">
        <v>56</v>
      </c>
      <c r="M53" s="51" t="s">
        <v>55</v>
      </c>
    </row>
    <row r="54" spans="1:13" ht="30" customHeight="1">
      <c r="A54" s="45">
        <v>17</v>
      </c>
      <c r="B54" s="47" t="s">
        <v>15</v>
      </c>
      <c r="C54" s="47" t="s">
        <v>66</v>
      </c>
      <c r="D54" s="45" t="s">
        <v>37</v>
      </c>
      <c r="E54" s="45" t="s">
        <v>14</v>
      </c>
      <c r="F54" s="45" t="s">
        <v>103</v>
      </c>
      <c r="G54" s="46">
        <v>101500</v>
      </c>
      <c r="H54" s="46">
        <v>2913.05</v>
      </c>
      <c r="I54" s="46">
        <v>5884.15</v>
      </c>
      <c r="J54" s="46">
        <v>3085.6</v>
      </c>
      <c r="K54" s="46">
        <v>5438.08</v>
      </c>
      <c r="L54" s="46">
        <f>H54+J54+I54+K54</f>
        <v>17320.879999999997</v>
      </c>
      <c r="M54" s="46">
        <f>+G54-L54</f>
        <v>84179.12</v>
      </c>
    </row>
    <row r="55" spans="1:13" ht="30" customHeight="1">
      <c r="A55" s="45">
        <v>18</v>
      </c>
      <c r="B55" s="70" t="s">
        <v>10</v>
      </c>
      <c r="C55" s="70" t="s">
        <v>16</v>
      </c>
      <c r="D55" s="71" t="s">
        <v>37</v>
      </c>
      <c r="E55" s="45" t="s">
        <v>14</v>
      </c>
      <c r="F55" s="45" t="s">
        <v>103</v>
      </c>
      <c r="G55" s="73">
        <v>60000</v>
      </c>
      <c r="H55" s="73">
        <v>1722</v>
      </c>
      <c r="I55" s="73">
        <v>3102.69</v>
      </c>
      <c r="J55" s="73">
        <v>1824</v>
      </c>
      <c r="K55" s="73">
        <v>2659.28</v>
      </c>
      <c r="L55" s="46">
        <f>H55+J55+I55+K55</f>
        <v>9307.9700000000012</v>
      </c>
      <c r="M55" s="73">
        <f>+G55-L55</f>
        <v>50692.03</v>
      </c>
    </row>
    <row r="56" spans="1:13" ht="30" customHeight="1" thickBot="1">
      <c r="A56" s="6" t="s">
        <v>49</v>
      </c>
      <c r="B56" s="10"/>
      <c r="C56" s="10"/>
      <c r="D56" s="10"/>
      <c r="E56" s="10"/>
      <c r="F56" s="10"/>
      <c r="G56" s="7">
        <f t="shared" ref="G56:M56" si="8">SUM(G54:G55)</f>
        <v>161500</v>
      </c>
      <c r="H56" s="7">
        <f t="shared" si="8"/>
        <v>4635.05</v>
      </c>
      <c r="I56" s="7">
        <f t="shared" si="8"/>
        <v>8986.84</v>
      </c>
      <c r="J56" s="7">
        <f t="shared" si="8"/>
        <v>4909.6000000000004</v>
      </c>
      <c r="K56" s="7">
        <f t="shared" si="8"/>
        <v>8097.3600000000006</v>
      </c>
      <c r="L56" s="7">
        <f t="shared" si="8"/>
        <v>26628.85</v>
      </c>
      <c r="M56" s="7">
        <f t="shared" si="8"/>
        <v>134871.15</v>
      </c>
    </row>
    <row r="57" spans="1:13" ht="30" customHeight="1" thickBot="1">
      <c r="A57" s="199" t="s">
        <v>114</v>
      </c>
      <c r="B57" s="200"/>
      <c r="C57" s="200"/>
      <c r="D57" s="200"/>
      <c r="E57" s="200"/>
      <c r="F57" s="200"/>
      <c r="G57" s="206"/>
      <c r="H57" s="206"/>
      <c r="I57" s="206"/>
      <c r="J57" s="206"/>
      <c r="K57" s="206"/>
      <c r="L57" s="206"/>
      <c r="M57" s="207"/>
    </row>
    <row r="58" spans="1:13" ht="30" customHeight="1" thickBot="1">
      <c r="A58" s="51" t="s">
        <v>0</v>
      </c>
      <c r="B58" s="51" t="s">
        <v>1</v>
      </c>
      <c r="C58" s="51" t="s">
        <v>2</v>
      </c>
      <c r="D58" s="51" t="s">
        <v>35</v>
      </c>
      <c r="E58" s="51" t="s">
        <v>3</v>
      </c>
      <c r="F58" s="51" t="s">
        <v>13</v>
      </c>
      <c r="G58" s="61" t="s">
        <v>54</v>
      </c>
      <c r="H58" s="61" t="s">
        <v>4</v>
      </c>
      <c r="I58" s="61" t="s">
        <v>6</v>
      </c>
      <c r="J58" s="61" t="s">
        <v>5</v>
      </c>
      <c r="K58" s="61" t="s">
        <v>57</v>
      </c>
      <c r="L58" s="61" t="s">
        <v>56</v>
      </c>
      <c r="M58" s="61" t="s">
        <v>55</v>
      </c>
    </row>
    <row r="59" spans="1:13" ht="30" customHeight="1">
      <c r="A59" s="16">
        <v>19</v>
      </c>
      <c r="B59" s="47" t="s">
        <v>28</v>
      </c>
      <c r="C59" s="47" t="s">
        <v>9</v>
      </c>
      <c r="D59" s="50" t="s">
        <v>37</v>
      </c>
      <c r="E59" s="45" t="s">
        <v>14</v>
      </c>
      <c r="F59" s="45" t="s">
        <v>103</v>
      </c>
      <c r="G59" s="46">
        <v>48000</v>
      </c>
      <c r="H59" s="46">
        <f t="shared" ref="H59" si="9">G59*0.0287</f>
        <v>1377.6</v>
      </c>
      <c r="I59" s="46">
        <v>1571.73</v>
      </c>
      <c r="J59" s="46">
        <f>IF(G59&lt;75829.93,G59*0.0304,2305.23)</f>
        <v>1459.2</v>
      </c>
      <c r="K59" s="46">
        <v>225</v>
      </c>
      <c r="L59" s="46">
        <f>H59+J59+I59+K59</f>
        <v>4633.5300000000007</v>
      </c>
      <c r="M59" s="46">
        <f t="shared" ref="M59" si="10">+G59-L59</f>
        <v>43366.47</v>
      </c>
    </row>
    <row r="60" spans="1:13" ht="30" customHeight="1">
      <c r="A60" s="6" t="s">
        <v>49</v>
      </c>
      <c r="B60" s="10"/>
      <c r="C60" s="10"/>
      <c r="D60" s="10"/>
      <c r="E60" s="10"/>
      <c r="F60" s="10"/>
      <c r="G60" s="7">
        <v>48000</v>
      </c>
      <c r="H60" s="7">
        <v>1377.6</v>
      </c>
      <c r="I60" s="7">
        <v>1571.73</v>
      </c>
      <c r="J60" s="7">
        <v>1459.2</v>
      </c>
      <c r="K60" s="7">
        <v>225</v>
      </c>
      <c r="L60" s="7">
        <v>4633.53</v>
      </c>
      <c r="M60" s="7">
        <v>43366.47</v>
      </c>
    </row>
    <row r="61" spans="1:13" ht="30" customHeight="1" thickBot="1">
      <c r="A61" s="6"/>
      <c r="B61" s="10"/>
      <c r="C61" s="10"/>
      <c r="D61" s="10"/>
      <c r="E61" s="10"/>
      <c r="F61" s="10"/>
      <c r="G61" s="7"/>
      <c r="H61" s="7"/>
      <c r="I61" s="7"/>
      <c r="J61" s="7"/>
      <c r="K61" s="7"/>
      <c r="L61" s="7"/>
      <c r="M61" s="7"/>
    </row>
    <row r="62" spans="1:13" ht="30" customHeight="1" thickBot="1">
      <c r="A62" s="199" t="s">
        <v>85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1"/>
    </row>
    <row r="63" spans="1:13" ht="30" customHeight="1" thickBot="1">
      <c r="A63" s="51" t="s">
        <v>0</v>
      </c>
      <c r="B63" s="51" t="s">
        <v>1</v>
      </c>
      <c r="C63" s="51" t="s">
        <v>2</v>
      </c>
      <c r="D63" s="51" t="s">
        <v>35</v>
      </c>
      <c r="E63" s="51" t="s">
        <v>3</v>
      </c>
      <c r="F63" s="51" t="s">
        <v>13</v>
      </c>
      <c r="G63" s="51" t="s">
        <v>54</v>
      </c>
      <c r="H63" s="51" t="s">
        <v>4</v>
      </c>
      <c r="I63" s="51" t="s">
        <v>6</v>
      </c>
      <c r="J63" s="51" t="s">
        <v>5</v>
      </c>
      <c r="K63" s="51" t="s">
        <v>57</v>
      </c>
      <c r="L63" s="51" t="s">
        <v>56</v>
      </c>
      <c r="M63" s="51" t="s">
        <v>55</v>
      </c>
    </row>
    <row r="64" spans="1:13" ht="30" customHeight="1">
      <c r="A64" s="45">
        <v>20</v>
      </c>
      <c r="B64" s="47" t="s">
        <v>31</v>
      </c>
      <c r="C64" s="47" t="s">
        <v>32</v>
      </c>
      <c r="D64" s="50" t="s">
        <v>37</v>
      </c>
      <c r="E64" s="45" t="s">
        <v>14</v>
      </c>
      <c r="F64" s="45" t="s">
        <v>103</v>
      </c>
      <c r="G64" s="46">
        <v>60000</v>
      </c>
      <c r="H64" s="46">
        <v>1722</v>
      </c>
      <c r="I64" s="46">
        <v>0</v>
      </c>
      <c r="J64" s="46">
        <f>IF(G64&lt;75829.93,G64*0.0304,2305.23)</f>
        <v>1824</v>
      </c>
      <c r="K64" s="46">
        <v>8057.48</v>
      </c>
      <c r="L64" s="46">
        <f>H64+J64+I64+K64</f>
        <v>11603.48</v>
      </c>
      <c r="M64" s="46">
        <f>+G64-L64</f>
        <v>48396.520000000004</v>
      </c>
    </row>
    <row r="65" spans="1:13" ht="30" customHeight="1">
      <c r="A65" s="45">
        <v>21</v>
      </c>
      <c r="B65" s="47" t="s">
        <v>34</v>
      </c>
      <c r="C65" s="47" t="s">
        <v>9</v>
      </c>
      <c r="D65" s="50" t="s">
        <v>36</v>
      </c>
      <c r="E65" s="45" t="s">
        <v>14</v>
      </c>
      <c r="F65" s="45" t="s">
        <v>103</v>
      </c>
      <c r="G65" s="46">
        <v>48000</v>
      </c>
      <c r="H65" s="46">
        <f>G65*0.0287</f>
        <v>1377.6</v>
      </c>
      <c r="I65" s="46">
        <v>1571.73</v>
      </c>
      <c r="J65" s="46">
        <f>IF(G65&lt;75829.93,G65*0.0304,2305.23)</f>
        <v>1459.2</v>
      </c>
      <c r="K65" s="46">
        <v>225</v>
      </c>
      <c r="L65" s="46">
        <f>+K65+I65+J65+H65</f>
        <v>4633.5300000000007</v>
      </c>
      <c r="M65" s="46">
        <f>+G65-L65</f>
        <v>43366.47</v>
      </c>
    </row>
    <row r="66" spans="1:13" ht="27.75" customHeight="1">
      <c r="A66" s="6" t="s">
        <v>49</v>
      </c>
      <c r="B66" s="47"/>
      <c r="C66" s="47"/>
      <c r="D66" s="50"/>
      <c r="E66" s="45"/>
      <c r="F66" s="45" t="s">
        <v>33</v>
      </c>
      <c r="G66" s="7">
        <f t="shared" ref="G66:M66" si="11">SUM(G64:G65)</f>
        <v>108000</v>
      </c>
      <c r="H66" s="7">
        <f t="shared" si="11"/>
        <v>3099.6</v>
      </c>
      <c r="I66" s="7">
        <f t="shared" si="11"/>
        <v>1571.73</v>
      </c>
      <c r="J66" s="7">
        <f t="shared" si="11"/>
        <v>3283.2</v>
      </c>
      <c r="K66" s="7">
        <f t="shared" si="11"/>
        <v>8282.48</v>
      </c>
      <c r="L66" s="8">
        <f t="shared" si="11"/>
        <v>16237.01</v>
      </c>
      <c r="M66" s="7">
        <f t="shared" si="11"/>
        <v>91762.99</v>
      </c>
    </row>
    <row r="67" spans="1:13" ht="27.75" customHeight="1">
      <c r="A67" s="6"/>
      <c r="B67" s="47"/>
      <c r="C67" s="47"/>
      <c r="D67" s="50"/>
      <c r="E67" s="45"/>
      <c r="F67" s="45"/>
      <c r="G67" s="7"/>
      <c r="H67" s="7"/>
      <c r="I67" s="7"/>
      <c r="J67" s="7"/>
      <c r="K67" s="7"/>
      <c r="L67" s="8"/>
      <c r="M67" s="7"/>
    </row>
    <row r="68" spans="1:13" ht="27.75" customHeight="1">
      <c r="A68" s="6"/>
      <c r="B68" s="47"/>
      <c r="C68" s="47"/>
      <c r="D68" s="50"/>
      <c r="E68" s="45"/>
      <c r="F68" s="45"/>
      <c r="G68" s="7"/>
      <c r="H68" s="7"/>
      <c r="I68" s="7"/>
      <c r="J68" s="7"/>
      <c r="K68" s="7"/>
      <c r="L68" s="8"/>
      <c r="M68" s="7"/>
    </row>
    <row r="69" spans="1:13" ht="27.75" customHeight="1" thickBot="1">
      <c r="A69" s="6"/>
      <c r="B69" s="47"/>
      <c r="C69" s="47"/>
      <c r="D69" s="50"/>
      <c r="E69" s="45"/>
      <c r="F69" s="45"/>
      <c r="G69" s="7"/>
      <c r="H69" s="7"/>
      <c r="I69" s="7"/>
      <c r="J69" s="7"/>
      <c r="K69" s="7"/>
      <c r="L69" s="11"/>
      <c r="M69" s="7"/>
    </row>
    <row r="70" spans="1:13" ht="30" customHeight="1" thickBot="1">
      <c r="A70" s="191" t="s">
        <v>86</v>
      </c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5"/>
    </row>
    <row r="71" spans="1:13" ht="30" customHeight="1" thickBot="1">
      <c r="A71" s="51" t="s">
        <v>0</v>
      </c>
      <c r="B71" s="51" t="s">
        <v>1</v>
      </c>
      <c r="C71" s="51" t="s">
        <v>2</v>
      </c>
      <c r="D71" s="51" t="s">
        <v>35</v>
      </c>
      <c r="E71" s="51" t="s">
        <v>3</v>
      </c>
      <c r="F71" s="51" t="s">
        <v>13</v>
      </c>
      <c r="G71" s="51" t="s">
        <v>54</v>
      </c>
      <c r="H71" s="51" t="s">
        <v>4</v>
      </c>
      <c r="I71" s="51" t="s">
        <v>6</v>
      </c>
      <c r="J71" s="51" t="s">
        <v>5</v>
      </c>
      <c r="K71" s="51" t="s">
        <v>57</v>
      </c>
      <c r="L71" s="51" t="s">
        <v>56</v>
      </c>
      <c r="M71" s="51" t="s">
        <v>55</v>
      </c>
    </row>
    <row r="72" spans="1:13" ht="30" customHeight="1">
      <c r="A72" s="45">
        <v>22</v>
      </c>
      <c r="B72" s="70" t="s">
        <v>30</v>
      </c>
      <c r="C72" s="70" t="s">
        <v>68</v>
      </c>
      <c r="D72" s="71" t="s">
        <v>36</v>
      </c>
      <c r="E72" s="45" t="s">
        <v>14</v>
      </c>
      <c r="F72" s="45" t="s">
        <v>118</v>
      </c>
      <c r="G72" s="72">
        <v>48000</v>
      </c>
      <c r="H72" s="72">
        <f>G72*0.0287</f>
        <v>1377.6</v>
      </c>
      <c r="I72" s="72">
        <v>1571.73</v>
      </c>
      <c r="J72" s="72">
        <v>1459.2</v>
      </c>
      <c r="K72" s="72">
        <v>25</v>
      </c>
      <c r="L72" s="72">
        <v>0</v>
      </c>
      <c r="M72" s="72">
        <f>+G72-L72</f>
        <v>48000</v>
      </c>
    </row>
    <row r="73" spans="1:13" ht="30" customHeight="1" thickBot="1">
      <c r="A73" s="6" t="s">
        <v>49</v>
      </c>
      <c r="B73" s="70"/>
      <c r="C73" s="70"/>
      <c r="D73" s="71"/>
      <c r="E73" s="45"/>
      <c r="F73" s="45"/>
      <c r="G73" s="62">
        <f>+G72</f>
        <v>48000</v>
      </c>
      <c r="H73" s="62">
        <f>G73*0.0287</f>
        <v>1377.6</v>
      </c>
      <c r="I73" s="62">
        <f>+I72</f>
        <v>1571.73</v>
      </c>
      <c r="J73" s="62">
        <f>+J72</f>
        <v>1459.2</v>
      </c>
      <c r="K73" s="62">
        <f>+K72</f>
        <v>25</v>
      </c>
      <c r="L73" s="62">
        <f>H73+J73+I73+K73</f>
        <v>4433.5300000000007</v>
      </c>
      <c r="M73" s="62">
        <f>+G73-L73</f>
        <v>43566.47</v>
      </c>
    </row>
    <row r="74" spans="1:13" ht="30" customHeight="1" thickBot="1">
      <c r="A74" s="196" t="s">
        <v>87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8"/>
    </row>
    <row r="75" spans="1:13" ht="30" customHeight="1" thickBot="1">
      <c r="A75" s="51" t="s">
        <v>0</v>
      </c>
      <c r="B75" s="51" t="s">
        <v>1</v>
      </c>
      <c r="C75" s="51" t="s">
        <v>2</v>
      </c>
      <c r="D75" s="51" t="s">
        <v>35</v>
      </c>
      <c r="E75" s="51" t="s">
        <v>3</v>
      </c>
      <c r="F75" s="51" t="s">
        <v>13</v>
      </c>
      <c r="G75" s="51" t="s">
        <v>54</v>
      </c>
      <c r="H75" s="51" t="s">
        <v>4</v>
      </c>
      <c r="I75" s="51" t="s">
        <v>6</v>
      </c>
      <c r="J75" s="51" t="s">
        <v>5</v>
      </c>
      <c r="K75" s="51" t="s">
        <v>57</v>
      </c>
      <c r="L75" s="51" t="s">
        <v>56</v>
      </c>
      <c r="M75" s="51" t="s">
        <v>55</v>
      </c>
    </row>
    <row r="76" spans="1:13" ht="30" customHeight="1">
      <c r="A76" s="16">
        <v>23</v>
      </c>
      <c r="B76" s="68" t="s">
        <v>27</v>
      </c>
      <c r="C76" s="68" t="s">
        <v>25</v>
      </c>
      <c r="D76" s="16" t="s">
        <v>37</v>
      </c>
      <c r="E76" s="45" t="s">
        <v>14</v>
      </c>
      <c r="F76" s="45" t="s">
        <v>103</v>
      </c>
      <c r="G76" s="12">
        <v>60000</v>
      </c>
      <c r="H76" s="12">
        <f>G76*0.0287</f>
        <v>1722</v>
      </c>
      <c r="I76" s="46">
        <v>3486.65</v>
      </c>
      <c r="J76" s="12">
        <v>1824</v>
      </c>
      <c r="K76" s="12">
        <v>1225</v>
      </c>
      <c r="L76" s="13">
        <f>H76+J76+I76+K76</f>
        <v>8257.65</v>
      </c>
      <c r="M76" s="46">
        <f>+G76-L76</f>
        <v>51742.35</v>
      </c>
    </row>
    <row r="77" spans="1:13" ht="30" customHeight="1">
      <c r="A77" s="16">
        <v>24</v>
      </c>
      <c r="B77" s="68" t="s">
        <v>22</v>
      </c>
      <c r="C77" s="68" t="s">
        <v>23</v>
      </c>
      <c r="D77" s="16" t="s">
        <v>36</v>
      </c>
      <c r="E77" s="45" t="s">
        <v>14</v>
      </c>
      <c r="F77" s="45" t="s">
        <v>103</v>
      </c>
      <c r="G77" s="12">
        <v>60000</v>
      </c>
      <c r="H77" s="12">
        <f t="shared" ref="H77:H80" si="12">G77*0.0287</f>
        <v>1722</v>
      </c>
      <c r="I77" s="46">
        <v>3486.65</v>
      </c>
      <c r="J77" s="12">
        <v>1824</v>
      </c>
      <c r="K77" s="12">
        <v>6287.3</v>
      </c>
      <c r="L77" s="13">
        <f>+H77+J77+I77+K77</f>
        <v>13319.95</v>
      </c>
      <c r="M77" s="46">
        <f>+G77-L77</f>
        <v>46680.05</v>
      </c>
    </row>
    <row r="78" spans="1:13" ht="30" customHeight="1">
      <c r="A78" s="16">
        <v>25</v>
      </c>
      <c r="B78" s="47" t="s">
        <v>24</v>
      </c>
      <c r="C78" s="47" t="s">
        <v>25</v>
      </c>
      <c r="D78" s="50" t="s">
        <v>37</v>
      </c>
      <c r="E78" s="45" t="s">
        <v>14</v>
      </c>
      <c r="F78" s="45" t="s">
        <v>103</v>
      </c>
      <c r="G78" s="46">
        <v>60000</v>
      </c>
      <c r="H78" s="46">
        <f t="shared" si="12"/>
        <v>1722</v>
      </c>
      <c r="I78" s="46">
        <v>3486.65</v>
      </c>
      <c r="J78" s="46">
        <f>IF(G78&lt;75829.93,G78*0.0304,2305.23)</f>
        <v>1824</v>
      </c>
      <c r="K78" s="46">
        <v>1225</v>
      </c>
      <c r="L78" s="46">
        <f>H78+J78+I78+K78</f>
        <v>8257.65</v>
      </c>
      <c r="M78" s="46">
        <f t="shared" ref="M78:M80" si="13">+G78-L78</f>
        <v>51742.35</v>
      </c>
    </row>
    <row r="79" spans="1:13" ht="30" customHeight="1">
      <c r="A79" s="16">
        <v>26</v>
      </c>
      <c r="B79" s="47" t="s">
        <v>58</v>
      </c>
      <c r="C79" s="47" t="s">
        <v>59</v>
      </c>
      <c r="D79" s="50" t="s">
        <v>37</v>
      </c>
      <c r="E79" s="45" t="s">
        <v>14</v>
      </c>
      <c r="F79" s="45" t="s">
        <v>103</v>
      </c>
      <c r="G79" s="46">
        <v>60000</v>
      </c>
      <c r="H79" s="46">
        <f t="shared" si="12"/>
        <v>1722</v>
      </c>
      <c r="I79" s="46">
        <v>3486.65</v>
      </c>
      <c r="J79" s="46">
        <v>1824</v>
      </c>
      <c r="K79" s="46">
        <v>1225</v>
      </c>
      <c r="L79" s="46">
        <f>H79+J79+I79+K79</f>
        <v>8257.65</v>
      </c>
      <c r="M79" s="46">
        <f>+G79-L79</f>
        <v>51742.35</v>
      </c>
    </row>
    <row r="80" spans="1:13" ht="30" customHeight="1">
      <c r="A80" s="16">
        <v>27</v>
      </c>
      <c r="B80" s="47" t="s">
        <v>26</v>
      </c>
      <c r="C80" s="47" t="s">
        <v>25</v>
      </c>
      <c r="D80" s="50" t="s">
        <v>37</v>
      </c>
      <c r="E80" s="45" t="s">
        <v>14</v>
      </c>
      <c r="F80" s="45" t="s">
        <v>103</v>
      </c>
      <c r="G80" s="69">
        <v>60000</v>
      </c>
      <c r="H80" s="69">
        <f t="shared" si="12"/>
        <v>1722</v>
      </c>
      <c r="I80" s="69">
        <v>3486.65</v>
      </c>
      <c r="J80" s="69">
        <f>IF(G80&lt;75829.93,G80*0.0304,2305.23)</f>
        <v>1824</v>
      </c>
      <c r="K80" s="69">
        <v>1939.5</v>
      </c>
      <c r="L80" s="69">
        <f>H80+J80+I80+K80</f>
        <v>8972.15</v>
      </c>
      <c r="M80" s="69">
        <f t="shared" si="13"/>
        <v>51027.85</v>
      </c>
    </row>
    <row r="81" spans="1:15" ht="30" customHeight="1" thickBot="1">
      <c r="A81" s="6" t="s">
        <v>49</v>
      </c>
      <c r="B81" s="47"/>
      <c r="C81" s="47"/>
      <c r="D81" s="50"/>
      <c r="E81" s="45"/>
      <c r="F81" s="45"/>
      <c r="G81" s="7">
        <f t="shared" ref="G81:M81" si="14">SUM(G76:G80)</f>
        <v>300000</v>
      </c>
      <c r="H81" s="7">
        <f t="shared" si="14"/>
        <v>8610</v>
      </c>
      <c r="I81" s="7">
        <f t="shared" si="14"/>
        <v>17433.25</v>
      </c>
      <c r="J81" s="7">
        <f t="shared" si="14"/>
        <v>9120</v>
      </c>
      <c r="K81" s="7">
        <f t="shared" si="14"/>
        <v>11901.8</v>
      </c>
      <c r="L81" s="7">
        <f t="shared" si="14"/>
        <v>47065.05</v>
      </c>
      <c r="M81" s="7">
        <f t="shared" si="14"/>
        <v>252934.95</v>
      </c>
    </row>
    <row r="82" spans="1:15" ht="30" customHeight="1" thickBot="1">
      <c r="A82" s="199" t="s">
        <v>94</v>
      </c>
      <c r="B82" s="200"/>
      <c r="C82" s="200"/>
      <c r="D82" s="200"/>
      <c r="E82" s="200"/>
      <c r="F82" s="206"/>
      <c r="G82" s="206"/>
      <c r="H82" s="206"/>
      <c r="I82" s="206"/>
      <c r="J82" s="206"/>
      <c r="K82" s="206"/>
      <c r="L82" s="206"/>
      <c r="M82" s="207"/>
    </row>
    <row r="83" spans="1:15" ht="30" customHeight="1" thickBot="1">
      <c r="A83" s="51" t="s">
        <v>0</v>
      </c>
      <c r="B83" s="51" t="s">
        <v>1</v>
      </c>
      <c r="C83" s="51" t="s">
        <v>2</v>
      </c>
      <c r="D83" s="51" t="s">
        <v>35</v>
      </c>
      <c r="E83" s="55" t="s">
        <v>3</v>
      </c>
      <c r="F83" s="63" t="s">
        <v>13</v>
      </c>
      <c r="G83" s="63" t="s">
        <v>54</v>
      </c>
      <c r="H83" s="63" t="s">
        <v>4</v>
      </c>
      <c r="I83" s="63" t="s">
        <v>6</v>
      </c>
      <c r="J83" s="63" t="s">
        <v>5</v>
      </c>
      <c r="K83" s="63" t="s">
        <v>57</v>
      </c>
      <c r="L83" s="63" t="s">
        <v>56</v>
      </c>
      <c r="M83" s="63" t="s">
        <v>55</v>
      </c>
    </row>
    <row r="84" spans="1:15" ht="30" customHeight="1">
      <c r="A84" s="45">
        <v>28</v>
      </c>
      <c r="B84" s="47" t="s">
        <v>95</v>
      </c>
      <c r="C84" s="47" t="s">
        <v>23</v>
      </c>
      <c r="D84" s="50" t="s">
        <v>36</v>
      </c>
      <c r="E84" s="45" t="s">
        <v>14</v>
      </c>
      <c r="F84" s="45" t="s">
        <v>119</v>
      </c>
      <c r="G84" s="46">
        <v>55000</v>
      </c>
      <c r="H84" s="46">
        <f>G84*0.0287</f>
        <v>1578.5</v>
      </c>
      <c r="I84" s="46">
        <v>2559.67</v>
      </c>
      <c r="J84" s="46">
        <v>1672</v>
      </c>
      <c r="K84" s="46">
        <v>225</v>
      </c>
      <c r="L84" s="46">
        <f>H84+J84+I84+K84</f>
        <v>6035.17</v>
      </c>
      <c r="M84" s="46">
        <f>+G84-L84</f>
        <v>48964.83</v>
      </c>
    </row>
    <row r="85" spans="1:15" ht="30" customHeight="1">
      <c r="A85" s="45">
        <v>29</v>
      </c>
      <c r="B85" s="47" t="s">
        <v>99</v>
      </c>
      <c r="C85" s="47" t="s">
        <v>92</v>
      </c>
      <c r="D85" s="50" t="s">
        <v>37</v>
      </c>
      <c r="E85" s="45" t="s">
        <v>14</v>
      </c>
      <c r="F85" s="45" t="s">
        <v>120</v>
      </c>
      <c r="G85" s="46">
        <v>55000</v>
      </c>
      <c r="H85" s="46">
        <v>1578.5</v>
      </c>
      <c r="I85" s="46">
        <v>2559.67</v>
      </c>
      <c r="J85" s="46">
        <v>1672</v>
      </c>
      <c r="K85" s="46">
        <v>19518</v>
      </c>
      <c r="L85" s="46">
        <f>H85+I85+J85+K85</f>
        <v>25328.17</v>
      </c>
      <c r="M85" s="46">
        <f>G85-L85</f>
        <v>29671.83</v>
      </c>
    </row>
    <row r="86" spans="1:15" ht="30" customHeight="1">
      <c r="A86" s="40" t="s">
        <v>127</v>
      </c>
      <c r="B86" s="38" t="s">
        <v>111</v>
      </c>
      <c r="C86" s="38" t="s">
        <v>112</v>
      </c>
      <c r="D86" s="37" t="s">
        <v>37</v>
      </c>
      <c r="E86" s="45" t="s">
        <v>14</v>
      </c>
      <c r="F86" s="39" t="s">
        <v>113</v>
      </c>
      <c r="G86" s="33">
        <v>60000</v>
      </c>
      <c r="H86" s="33">
        <v>1722</v>
      </c>
      <c r="I86" s="33">
        <v>3486.65</v>
      </c>
      <c r="J86" s="33">
        <v>1824</v>
      </c>
      <c r="K86" s="33">
        <v>11109.88</v>
      </c>
      <c r="L86" s="33">
        <f>H86+I86+J86+K86</f>
        <v>18142.53</v>
      </c>
      <c r="M86" s="33">
        <f>G86-L86</f>
        <v>41857.47</v>
      </c>
    </row>
    <row r="87" spans="1:15" ht="30" customHeight="1" thickBot="1">
      <c r="A87" s="6" t="s">
        <v>49</v>
      </c>
      <c r="B87" s="64"/>
      <c r="C87" s="64"/>
      <c r="D87" s="65"/>
      <c r="E87" s="65"/>
      <c r="F87" s="64"/>
      <c r="G87" s="66">
        <f t="shared" ref="G87:M87" si="15">SUM(G84:G86)</f>
        <v>170000</v>
      </c>
      <c r="H87" s="66">
        <f t="shared" si="15"/>
        <v>4879</v>
      </c>
      <c r="I87" s="66">
        <f t="shared" si="15"/>
        <v>8605.99</v>
      </c>
      <c r="J87" s="66">
        <f t="shared" si="15"/>
        <v>5168</v>
      </c>
      <c r="K87" s="66">
        <f t="shared" si="15"/>
        <v>30852.879999999997</v>
      </c>
      <c r="L87" s="66">
        <f t="shared" si="15"/>
        <v>49505.869999999995</v>
      </c>
      <c r="M87" s="66">
        <f t="shared" si="15"/>
        <v>120494.13</v>
      </c>
    </row>
    <row r="88" spans="1:15" ht="30" customHeight="1" thickBot="1">
      <c r="A88" s="199" t="s">
        <v>88</v>
      </c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1"/>
    </row>
    <row r="89" spans="1:15" ht="30" customHeight="1" thickBot="1">
      <c r="A89" s="51" t="s">
        <v>0</v>
      </c>
      <c r="B89" s="51" t="s">
        <v>1</v>
      </c>
      <c r="C89" s="51" t="s">
        <v>2</v>
      </c>
      <c r="D89" s="51" t="s">
        <v>35</v>
      </c>
      <c r="E89" s="51" t="s">
        <v>3</v>
      </c>
      <c r="F89" s="51" t="s">
        <v>13</v>
      </c>
      <c r="G89" s="51" t="s">
        <v>54</v>
      </c>
      <c r="H89" s="51" t="s">
        <v>4</v>
      </c>
      <c r="I89" s="51" t="s">
        <v>6</v>
      </c>
      <c r="J89" s="51" t="s">
        <v>5</v>
      </c>
      <c r="K89" s="51" t="s">
        <v>57</v>
      </c>
      <c r="L89" s="51" t="s">
        <v>56</v>
      </c>
      <c r="M89" s="51" t="s">
        <v>55</v>
      </c>
    </row>
    <row r="90" spans="1:15" ht="30" customHeight="1">
      <c r="A90" s="45">
        <v>31</v>
      </c>
      <c r="B90" s="47" t="s">
        <v>29</v>
      </c>
      <c r="C90" s="47" t="s">
        <v>61</v>
      </c>
      <c r="D90" s="50" t="s">
        <v>37</v>
      </c>
      <c r="E90" s="45" t="s">
        <v>14</v>
      </c>
      <c r="F90" s="45" t="s">
        <v>103</v>
      </c>
      <c r="G90" s="46">
        <v>122500</v>
      </c>
      <c r="H90" s="46">
        <f>G90*0.0287</f>
        <v>3515.75</v>
      </c>
      <c r="I90" s="46">
        <v>17398</v>
      </c>
      <c r="J90" s="46">
        <v>3724</v>
      </c>
      <c r="K90" s="46">
        <v>225</v>
      </c>
      <c r="L90" s="46">
        <f>H90+J90+I90+K90</f>
        <v>24862.75</v>
      </c>
      <c r="M90" s="46">
        <f>+G90-L90</f>
        <v>97637.25</v>
      </c>
    </row>
    <row r="91" spans="1:15" ht="30" customHeight="1">
      <c r="A91" s="45">
        <v>32</v>
      </c>
      <c r="B91" s="47" t="s">
        <v>104</v>
      </c>
      <c r="C91" s="47" t="s">
        <v>105</v>
      </c>
      <c r="D91" s="50" t="s">
        <v>36</v>
      </c>
      <c r="E91" s="45" t="s">
        <v>14</v>
      </c>
      <c r="F91" s="45" t="s">
        <v>106</v>
      </c>
      <c r="G91" s="46">
        <v>40000</v>
      </c>
      <c r="H91" s="46">
        <v>1148</v>
      </c>
      <c r="I91" s="46">
        <v>442.65</v>
      </c>
      <c r="J91" s="46">
        <v>1216</v>
      </c>
      <c r="K91" s="46">
        <v>1025</v>
      </c>
      <c r="L91" s="46">
        <f>H91+I91+J91+K91</f>
        <v>3831.65</v>
      </c>
      <c r="M91" s="46">
        <f>G91-L91</f>
        <v>36168.35</v>
      </c>
    </row>
    <row r="92" spans="1:15" ht="30" customHeight="1">
      <c r="A92" s="6" t="s">
        <v>49</v>
      </c>
      <c r="B92" s="47"/>
      <c r="C92" s="47"/>
      <c r="D92" s="50"/>
      <c r="E92" s="50"/>
      <c r="F92" s="50"/>
      <c r="G92" s="62">
        <f t="shared" ref="G92:M92" si="16">SUM(G90:G91)</f>
        <v>162500</v>
      </c>
      <c r="H92" s="48">
        <f t="shared" si="16"/>
        <v>4663.75</v>
      </c>
      <c r="I92" s="62">
        <f t="shared" si="16"/>
        <v>17840.650000000001</v>
      </c>
      <c r="J92" s="62">
        <f t="shared" si="16"/>
        <v>4940</v>
      </c>
      <c r="K92" s="62">
        <f t="shared" si="16"/>
        <v>1250</v>
      </c>
      <c r="L92" s="62">
        <f t="shared" si="16"/>
        <v>28694.400000000001</v>
      </c>
      <c r="M92" s="62">
        <f t="shared" si="16"/>
        <v>133805.6</v>
      </c>
    </row>
    <row r="93" spans="1:15" ht="30" customHeight="1" thickBot="1">
      <c r="A93" s="17" t="s">
        <v>50</v>
      </c>
      <c r="B93" s="16"/>
      <c r="C93" s="16"/>
      <c r="D93" s="16"/>
      <c r="E93" s="16"/>
      <c r="F93" s="16"/>
      <c r="G93" s="82">
        <f>G92+G87+G81+G73+G66+G60+G56+G50+G44+G37+G32+G28+G22+G16+G12</f>
        <v>2205000</v>
      </c>
      <c r="H93" s="83">
        <f>H92+H87+H81+H73+H66+H60+H56+H50+H44+H37+H32+H28+H22+H16+H12</f>
        <v>63283.499999999993</v>
      </c>
      <c r="I93" s="82">
        <f>I92+I87+I81+I73+I66+I60+I56+I50+I44+I37+I32+I28+I22+I12+I16</f>
        <v>167198.52000000005</v>
      </c>
      <c r="J93" s="82">
        <f>J92+J87+J81+J73+J66+J60+J56+J50+J44+J37+J32+J28+J22+J16+J12</f>
        <v>67032</v>
      </c>
      <c r="K93" s="82">
        <f>K12+K16+K22+K28+K32+K37+K44+K50+K56+K60+K66+K73+K81+K87+K92</f>
        <v>125822.44999999998</v>
      </c>
      <c r="L93" s="82">
        <f>L92+L87+L81+L73+L66+L60+L56+L50+L44+L37+L32+L28+L22+L16+L12</f>
        <v>423336.47000000003</v>
      </c>
      <c r="M93" s="82">
        <f>M92+M87+M81+M73+M66+M60+M56+M50+M44+M37+M32+M28+M22+M16+M12</f>
        <v>1781663.5299999998</v>
      </c>
      <c r="N93" s="1"/>
    </row>
    <row r="94" spans="1:15" ht="23.25" customHeight="1" thickTop="1">
      <c r="A94" s="17"/>
      <c r="B94" s="16"/>
      <c r="C94" s="16"/>
      <c r="D94" s="16"/>
      <c r="E94" s="16"/>
      <c r="F94" s="16"/>
      <c r="G94" s="18"/>
      <c r="I94" s="18"/>
      <c r="J94" s="18"/>
      <c r="K94" s="18"/>
      <c r="L94" s="18"/>
      <c r="M94" s="19"/>
      <c r="N94" s="1"/>
      <c r="O94" s="2"/>
    </row>
    <row r="95" spans="1:15" ht="30" customHeight="1">
      <c r="A95" s="20" t="s">
        <v>46</v>
      </c>
      <c r="B95" s="20"/>
      <c r="C95" s="20"/>
      <c r="D95" s="20"/>
      <c r="E95" s="20" t="s">
        <v>121</v>
      </c>
      <c r="F95" s="21" t="s">
        <v>48</v>
      </c>
      <c r="G95" s="21"/>
      <c r="H95" s="21"/>
      <c r="J95" s="209" t="s">
        <v>47</v>
      </c>
      <c r="K95" s="209"/>
      <c r="L95" s="209"/>
      <c r="M95" s="209"/>
      <c r="O95" s="2"/>
    </row>
    <row r="96" spans="1:15" ht="30" customHeight="1">
      <c r="A96" s="20"/>
      <c r="B96" s="20"/>
      <c r="C96" s="20"/>
      <c r="D96" s="20"/>
      <c r="E96" s="20"/>
      <c r="F96" s="21"/>
      <c r="G96" s="21"/>
      <c r="H96" s="21"/>
      <c r="J96" s="21"/>
      <c r="K96" s="21"/>
      <c r="L96" s="21"/>
      <c r="M96" s="21"/>
      <c r="O96" s="2"/>
    </row>
    <row r="97" spans="1:15" ht="33" customHeight="1">
      <c r="A97" s="22"/>
      <c r="B97" s="20"/>
      <c r="C97" s="20"/>
      <c r="D97" s="20"/>
      <c r="E97" s="20"/>
      <c r="F97" s="20"/>
      <c r="G97" s="23"/>
      <c r="H97" s="23"/>
      <c r="J97" s="23"/>
      <c r="K97" s="23"/>
      <c r="L97" s="23"/>
      <c r="M97" s="24"/>
      <c r="N97" s="1"/>
      <c r="O97" s="2"/>
    </row>
    <row r="98" spans="1:15" ht="30" customHeight="1">
      <c r="A98" s="25" t="s">
        <v>72</v>
      </c>
      <c r="B98" s="20"/>
      <c r="C98" s="20"/>
      <c r="D98" s="20"/>
      <c r="E98" s="20"/>
      <c r="F98" s="26" t="s">
        <v>8</v>
      </c>
      <c r="G98" s="21"/>
      <c r="H98" s="21"/>
      <c r="J98" s="211" t="s">
        <v>77</v>
      </c>
      <c r="K98" s="211"/>
      <c r="L98" s="211"/>
      <c r="M98" s="211"/>
    </row>
    <row r="99" spans="1:15" ht="30" customHeight="1">
      <c r="A99" s="20" t="s">
        <v>73</v>
      </c>
      <c r="B99" s="20"/>
      <c r="C99" s="20"/>
      <c r="D99" s="20"/>
      <c r="E99" s="20"/>
      <c r="F99" s="20" t="s">
        <v>51</v>
      </c>
      <c r="G99" s="21"/>
      <c r="H99" s="21"/>
      <c r="J99" s="209" t="s">
        <v>7</v>
      </c>
      <c r="K99" s="209"/>
      <c r="L99" s="209"/>
      <c r="M99" s="209"/>
    </row>
    <row r="100" spans="1:15" ht="20.100000000000001" customHeight="1">
      <c r="A100" s="208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</row>
    <row r="101" spans="1:15" ht="30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15" ht="30" customHeight="1">
      <c r="A102" s="209"/>
      <c r="B102" s="209"/>
      <c r="C102" s="209"/>
      <c r="D102" s="21"/>
      <c r="E102" s="209"/>
      <c r="F102" s="209"/>
      <c r="G102" s="209"/>
      <c r="H102" s="209"/>
      <c r="I102" s="209"/>
      <c r="J102" s="209"/>
      <c r="K102" s="4"/>
      <c r="L102" s="4"/>
      <c r="M102" s="4"/>
    </row>
    <row r="103" spans="1:15" ht="20.100000000000001" customHeight="1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</row>
    <row r="104" spans="1:15" ht="20.100000000000001" customHeight="1">
      <c r="A104" s="208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</row>
    <row r="108" spans="1:15" ht="30" customHeight="1">
      <c r="I108" s="27"/>
      <c r="J108" s="27"/>
    </row>
    <row r="110" spans="1:15" ht="30" customHeight="1">
      <c r="A110" s="20"/>
      <c r="B110" s="28"/>
      <c r="C110" s="29"/>
      <c r="D110" s="30"/>
      <c r="E110" s="30"/>
      <c r="F110" s="30"/>
      <c r="G110" s="31"/>
      <c r="H110" s="31"/>
      <c r="I110" s="31"/>
      <c r="J110" s="31"/>
      <c r="K110" s="31"/>
      <c r="L110" s="31"/>
      <c r="M110" s="31"/>
    </row>
  </sheetData>
  <mergeCells count="25">
    <mergeCell ref="A88:M88"/>
    <mergeCell ref="A82:M82"/>
    <mergeCell ref="J98:M98"/>
    <mergeCell ref="A100:M100"/>
    <mergeCell ref="J99:M99"/>
    <mergeCell ref="J95:M95"/>
    <mergeCell ref="A104:M104"/>
    <mergeCell ref="A102:C102"/>
    <mergeCell ref="E102:G102"/>
    <mergeCell ref="H102:J102"/>
    <mergeCell ref="A103:M103"/>
    <mergeCell ref="A1:M6"/>
    <mergeCell ref="A8:M8"/>
    <mergeCell ref="A40:M40"/>
    <mergeCell ref="A52:M52"/>
    <mergeCell ref="A74:M74"/>
    <mergeCell ref="A70:M70"/>
    <mergeCell ref="A62:M62"/>
    <mergeCell ref="A29:M29"/>
    <mergeCell ref="A13:M13"/>
    <mergeCell ref="A23:M23"/>
    <mergeCell ref="A34:M34"/>
    <mergeCell ref="A45:M45"/>
    <mergeCell ref="A17:M17"/>
    <mergeCell ref="A57:M57"/>
  </mergeCells>
  <phoneticPr fontId="2" type="noConversion"/>
  <pageMargins left="0.23622047244094491" right="0.23622047244094491" top="0.74803149606299213" bottom="0.5" header="0.31496062992125984" footer="0.31496062992125984"/>
  <pageSetup paperSize="5" scale="50" fitToHeight="0" orientation="landscape" r:id="rId1"/>
  <ignoredErrors>
    <ignoredError sqref="L76:L77 H73 L91:M91 I93 K93" formula="1"/>
    <ignoredError sqref="I44 A8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A808-E91B-4888-A062-4D6ABCC1F878}">
  <dimension ref="B4:N28"/>
  <sheetViews>
    <sheetView workbookViewId="0">
      <selection activeCell="G18" sqref="G18"/>
    </sheetView>
  </sheetViews>
  <sheetFormatPr baseColWidth="10" defaultRowHeight="15"/>
  <cols>
    <col min="3" max="3" width="26.85546875" customWidth="1"/>
    <col min="4" max="4" width="19" customWidth="1"/>
    <col min="6" max="6" width="18.7109375" bestFit="1" customWidth="1"/>
    <col min="7" max="7" width="38.7109375" bestFit="1" customWidth="1"/>
    <col min="11" max="11" width="17.42578125" bestFit="1" customWidth="1"/>
    <col min="12" max="12" width="15" bestFit="1" customWidth="1"/>
    <col min="13" max="13" width="12.5703125" bestFit="1" customWidth="1"/>
  </cols>
  <sheetData>
    <row r="4" spans="2:14">
      <c r="B4" s="219" t="s">
        <v>361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1"/>
    </row>
    <row r="5" spans="2:14">
      <c r="B5" s="222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223"/>
    </row>
    <row r="6" spans="2:14">
      <c r="B6" s="222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223"/>
    </row>
    <row r="7" spans="2:14">
      <c r="B7" s="222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223"/>
    </row>
    <row r="8" spans="2:14">
      <c r="B8" s="222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223"/>
    </row>
    <row r="9" spans="2:14" ht="15.75" thickBot="1">
      <c r="B9" s="224"/>
      <c r="C9" s="225"/>
      <c r="D9" s="225"/>
      <c r="E9" s="225"/>
      <c r="F9" s="225"/>
      <c r="G9" s="225"/>
      <c r="H9" s="225"/>
      <c r="I9" s="225"/>
      <c r="J9" s="225"/>
      <c r="K9" s="225"/>
      <c r="L9" s="188"/>
      <c r="M9" s="223"/>
    </row>
    <row r="10" spans="2:14" ht="21" thickBot="1">
      <c r="B10" s="85" t="s">
        <v>39</v>
      </c>
      <c r="C10" s="85" t="s">
        <v>52</v>
      </c>
      <c r="D10" s="85" t="s">
        <v>40</v>
      </c>
      <c r="E10" s="85" t="s">
        <v>41</v>
      </c>
      <c r="F10" s="85" t="s">
        <v>42</v>
      </c>
      <c r="G10" s="85" t="s">
        <v>53</v>
      </c>
      <c r="H10" s="85" t="s">
        <v>43</v>
      </c>
      <c r="I10" s="85" t="s">
        <v>17</v>
      </c>
      <c r="J10" s="85" t="s">
        <v>128</v>
      </c>
      <c r="K10" s="86" t="s">
        <v>44</v>
      </c>
      <c r="L10" s="87"/>
      <c r="M10" s="88"/>
    </row>
    <row r="11" spans="2:14" ht="31.5" thickBot="1">
      <c r="B11" s="226" t="s">
        <v>129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8"/>
      <c r="M11" s="229"/>
    </row>
    <row r="12" spans="2:14" ht="21" thickBot="1">
      <c r="B12" s="89" t="s">
        <v>0</v>
      </c>
      <c r="C12" s="90" t="s">
        <v>1</v>
      </c>
      <c r="D12" s="90" t="s">
        <v>2</v>
      </c>
      <c r="E12" s="90" t="s">
        <v>35</v>
      </c>
      <c r="F12" s="90" t="s">
        <v>3</v>
      </c>
      <c r="G12" s="90" t="s">
        <v>54</v>
      </c>
      <c r="H12" s="90" t="s">
        <v>4</v>
      </c>
      <c r="I12" s="90" t="s">
        <v>5</v>
      </c>
      <c r="J12" s="90" t="s">
        <v>6</v>
      </c>
      <c r="K12" s="90" t="s">
        <v>57</v>
      </c>
      <c r="L12" s="90" t="s">
        <v>56</v>
      </c>
      <c r="M12" s="87" t="s">
        <v>55</v>
      </c>
    </row>
    <row r="13" spans="2:14" ht="34.5">
      <c r="B13" s="91">
        <v>1</v>
      </c>
      <c r="C13" s="92" t="s">
        <v>130</v>
      </c>
      <c r="D13" s="92" t="s">
        <v>131</v>
      </c>
      <c r="E13" s="93" t="s">
        <v>36</v>
      </c>
      <c r="F13" s="93" t="s">
        <v>132</v>
      </c>
      <c r="G13" s="94">
        <v>20000</v>
      </c>
      <c r="H13" s="95">
        <v>0</v>
      </c>
      <c r="I13" s="95">
        <v>0</v>
      </c>
      <c r="J13" s="95">
        <v>0</v>
      </c>
      <c r="K13" s="95">
        <v>0</v>
      </c>
      <c r="L13" s="95">
        <f>+H13+I13+J13+K13</f>
        <v>0</v>
      </c>
      <c r="M13" s="96">
        <f>G13-L13</f>
        <v>20000</v>
      </c>
      <c r="N13" s="97"/>
    </row>
    <row r="14" spans="2:14" ht="34.5">
      <c r="B14" s="91">
        <v>2</v>
      </c>
      <c r="C14" s="92" t="s">
        <v>133</v>
      </c>
      <c r="D14" s="92" t="s">
        <v>134</v>
      </c>
      <c r="E14" s="93" t="s">
        <v>36</v>
      </c>
      <c r="F14" s="93" t="s">
        <v>132</v>
      </c>
      <c r="G14" s="94">
        <v>16000</v>
      </c>
      <c r="H14" s="95">
        <v>0</v>
      </c>
      <c r="I14" s="95">
        <v>0</v>
      </c>
      <c r="J14" s="95">
        <v>0</v>
      </c>
      <c r="K14" s="95">
        <v>0</v>
      </c>
      <c r="L14" s="95">
        <f t="shared" ref="L14:L17" si="0">+H14+I14+J14+K14</f>
        <v>0</v>
      </c>
      <c r="M14" s="96">
        <v>16000</v>
      </c>
      <c r="N14" s="97"/>
    </row>
    <row r="15" spans="2:14" ht="34.5">
      <c r="B15" s="91">
        <v>3</v>
      </c>
      <c r="C15" s="92" t="s">
        <v>135</v>
      </c>
      <c r="D15" s="92" t="s">
        <v>134</v>
      </c>
      <c r="E15" s="93" t="s">
        <v>37</v>
      </c>
      <c r="F15" s="93" t="s">
        <v>132</v>
      </c>
      <c r="G15" s="94">
        <v>16000</v>
      </c>
      <c r="H15" s="95">
        <v>0</v>
      </c>
      <c r="I15" s="95">
        <v>0</v>
      </c>
      <c r="J15" s="95">
        <v>0</v>
      </c>
      <c r="K15" s="94">
        <v>8417.6</v>
      </c>
      <c r="L15" s="94">
        <f t="shared" si="0"/>
        <v>8417.6</v>
      </c>
      <c r="M15" s="96">
        <f>G15-L15</f>
        <v>7582.4</v>
      </c>
      <c r="N15" s="97"/>
    </row>
    <row r="16" spans="2:14" ht="51.75">
      <c r="B16" s="91">
        <v>4</v>
      </c>
      <c r="C16" s="92" t="s">
        <v>136</v>
      </c>
      <c r="D16" s="92" t="s">
        <v>137</v>
      </c>
      <c r="E16" s="93" t="s">
        <v>36</v>
      </c>
      <c r="F16" s="93" t="s">
        <v>132</v>
      </c>
      <c r="G16" s="94">
        <v>18000</v>
      </c>
      <c r="H16" s="95">
        <v>0</v>
      </c>
      <c r="I16" s="95">
        <v>0</v>
      </c>
      <c r="J16" s="95">
        <v>0</v>
      </c>
      <c r="K16" s="94">
        <v>5308.96</v>
      </c>
      <c r="L16" s="94">
        <f t="shared" si="0"/>
        <v>5308.96</v>
      </c>
      <c r="M16" s="96">
        <f>G16-L16</f>
        <v>12691.04</v>
      </c>
      <c r="N16" s="97"/>
    </row>
    <row r="17" spans="2:14" ht="34.5">
      <c r="B17" s="91">
        <v>5</v>
      </c>
      <c r="C17" s="92" t="s">
        <v>138</v>
      </c>
      <c r="D17" s="92" t="s">
        <v>139</v>
      </c>
      <c r="E17" s="93" t="s">
        <v>36</v>
      </c>
      <c r="F17" s="93" t="s">
        <v>132</v>
      </c>
      <c r="G17" s="94">
        <v>12500</v>
      </c>
      <c r="H17" s="95">
        <v>0</v>
      </c>
      <c r="I17" s="95">
        <v>0</v>
      </c>
      <c r="J17" s="95">
        <v>0</v>
      </c>
      <c r="K17" s="95">
        <v>0</v>
      </c>
      <c r="L17" s="95">
        <f t="shared" si="0"/>
        <v>0</v>
      </c>
      <c r="M17" s="96">
        <f t="shared" ref="M17" si="1">G17-L17</f>
        <v>12500</v>
      </c>
      <c r="N17" s="97"/>
    </row>
    <row r="18" spans="2:14" ht="34.5">
      <c r="B18" s="98" t="s">
        <v>49</v>
      </c>
      <c r="C18" s="92"/>
      <c r="D18" s="92"/>
      <c r="E18" s="93"/>
      <c r="F18" s="93"/>
      <c r="G18" s="99">
        <f>SUM(G13:G17)</f>
        <v>82500</v>
      </c>
      <c r="H18" s="100">
        <f>SUM(H12:H17)</f>
        <v>0</v>
      </c>
      <c r="I18" s="100">
        <f>SUM(I12:I17)</f>
        <v>0</v>
      </c>
      <c r="J18" s="101" t="s">
        <v>140</v>
      </c>
      <c r="K18" s="102">
        <f>SUM(K12:K17)</f>
        <v>13726.560000000001</v>
      </c>
      <c r="L18" s="99">
        <f>SUM(L12:L17)</f>
        <v>13726.560000000001</v>
      </c>
      <c r="M18" s="103">
        <f>SUM(M13:M17)</f>
        <v>68773.440000000002</v>
      </c>
      <c r="N18" s="97"/>
    </row>
    <row r="19" spans="2:14" ht="34.5">
      <c r="B19" s="104" t="s">
        <v>50</v>
      </c>
      <c r="C19" s="105"/>
      <c r="D19" s="105"/>
      <c r="E19" s="106"/>
      <c r="F19" s="106"/>
      <c r="G19" s="99">
        <f>+G18</f>
        <v>82500</v>
      </c>
      <c r="H19" s="100">
        <f>+H18</f>
        <v>0</v>
      </c>
      <c r="I19" s="100">
        <f t="shared" ref="I19:L19" si="2">+I18</f>
        <v>0</v>
      </c>
      <c r="J19" s="99" t="str">
        <f t="shared" si="2"/>
        <v>0.00</v>
      </c>
      <c r="K19" s="99">
        <f t="shared" si="2"/>
        <v>13726.560000000001</v>
      </c>
      <c r="L19" s="99">
        <f t="shared" si="2"/>
        <v>13726.560000000001</v>
      </c>
      <c r="M19" s="103">
        <f>+M18</f>
        <v>68773.440000000002</v>
      </c>
      <c r="N19" s="97"/>
    </row>
    <row r="20" spans="2:14" ht="15.75">
      <c r="B20" s="107"/>
      <c r="E20" s="3"/>
      <c r="F20" s="107"/>
      <c r="N20" s="97"/>
    </row>
    <row r="21" spans="2:14" ht="15.75">
      <c r="B21" s="107"/>
      <c r="E21" s="3"/>
      <c r="F21" s="107"/>
      <c r="N21" s="97"/>
    </row>
    <row r="22" spans="2:14" ht="17.25">
      <c r="B22" s="108"/>
      <c r="C22" s="109"/>
      <c r="D22" s="109"/>
      <c r="E22" s="93"/>
      <c r="F22" s="93"/>
      <c r="G22" s="110"/>
      <c r="H22" s="111"/>
      <c r="I22" s="111"/>
      <c r="J22" s="110"/>
      <c r="K22" s="112"/>
      <c r="L22" s="110"/>
      <c r="M22" s="110"/>
      <c r="N22" s="97"/>
    </row>
    <row r="23" spans="2:14" ht="17.25">
      <c r="B23" s="20" t="s">
        <v>46</v>
      </c>
      <c r="C23" s="20"/>
      <c r="D23" s="20"/>
      <c r="E23" s="20"/>
      <c r="F23" s="20"/>
      <c r="G23" s="21" t="s">
        <v>48</v>
      </c>
      <c r="H23" s="21"/>
      <c r="I23" s="21"/>
      <c r="J23" s="97"/>
      <c r="K23" s="209" t="s">
        <v>47</v>
      </c>
      <c r="L23" s="209"/>
      <c r="M23" s="209"/>
      <c r="N23" s="209"/>
    </row>
    <row r="24" spans="2:14" ht="17.25">
      <c r="B24" s="22"/>
      <c r="C24" s="20"/>
      <c r="D24" s="20"/>
      <c r="E24" s="20"/>
      <c r="F24" s="20"/>
      <c r="G24" s="20"/>
      <c r="H24" s="23"/>
      <c r="I24" s="23"/>
      <c r="J24" s="23"/>
      <c r="K24" s="23"/>
      <c r="L24" s="23"/>
      <c r="M24" s="23"/>
      <c r="N24" s="24"/>
    </row>
    <row r="25" spans="2:14" ht="17.25">
      <c r="B25" s="25" t="s">
        <v>141</v>
      </c>
      <c r="C25" s="20"/>
      <c r="D25" s="20"/>
      <c r="E25" s="20"/>
      <c r="F25" s="20"/>
      <c r="G25" s="26" t="s">
        <v>8</v>
      </c>
      <c r="H25" s="21"/>
      <c r="I25" s="21"/>
      <c r="J25" s="21"/>
      <c r="K25" s="211" t="s">
        <v>77</v>
      </c>
      <c r="L25" s="211"/>
      <c r="M25" s="211"/>
      <c r="N25" s="211"/>
    </row>
    <row r="26" spans="2:14" ht="17.25">
      <c r="B26" s="20" t="s">
        <v>142</v>
      </c>
      <c r="C26" s="20"/>
      <c r="D26" s="20"/>
      <c r="E26" s="20"/>
      <c r="F26" s="20"/>
      <c r="G26" s="20" t="s">
        <v>51</v>
      </c>
      <c r="H26" s="21"/>
      <c r="I26" s="21"/>
      <c r="J26" s="21"/>
      <c r="K26" s="209" t="s">
        <v>7</v>
      </c>
      <c r="L26" s="209"/>
      <c r="M26" s="209"/>
      <c r="N26" s="209"/>
    </row>
    <row r="27" spans="2:14" ht="17.25">
      <c r="B27" s="108"/>
      <c r="C27" s="109"/>
      <c r="D27" s="109"/>
      <c r="E27" s="93"/>
      <c r="F27" s="93"/>
      <c r="G27" s="110"/>
      <c r="H27" s="111"/>
      <c r="I27" s="111"/>
      <c r="J27" s="110"/>
      <c r="K27" s="112"/>
      <c r="L27" s="110"/>
      <c r="M27" s="110"/>
      <c r="N27" s="97"/>
    </row>
    <row r="28" spans="2:14" ht="17.25">
      <c r="B28" s="108"/>
      <c r="C28" s="109"/>
      <c r="D28" s="109"/>
      <c r="E28" s="93"/>
      <c r="F28" s="93"/>
      <c r="G28" s="110"/>
      <c r="H28" s="111"/>
      <c r="I28" s="111"/>
      <c r="J28" s="110"/>
      <c r="K28" s="112"/>
      <c r="L28" s="110"/>
      <c r="M28" s="110"/>
      <c r="N28" s="97"/>
    </row>
  </sheetData>
  <mergeCells count="5">
    <mergeCell ref="B4:M9"/>
    <mergeCell ref="B11:M11"/>
    <mergeCell ref="K23:N23"/>
    <mergeCell ref="K25:N25"/>
    <mergeCell ref="K26:N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AF22F3-D10F-4C69-A483-C49A9578457B}"/>
</file>

<file path=customXml/itemProps2.xml><?xml version="1.0" encoding="utf-8"?>
<ds:datastoreItem xmlns:ds="http://schemas.openxmlformats.org/officeDocument/2006/customXml" ds:itemID="{C78E1C27-BD0A-4E0C-BF1F-CE23CB0042F4}"/>
</file>

<file path=customXml/itemProps3.xml><?xml version="1.0" encoding="utf-8"?>
<ds:datastoreItem xmlns:ds="http://schemas.openxmlformats.org/officeDocument/2006/customXml" ds:itemID="{DD09591F-FFCA-425D-8D1F-2F6EEF227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Fijo </vt:lpstr>
      <vt:lpstr>Contratado</vt:lpstr>
      <vt:lpstr>Vigilancia 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2026-05-08T18:23:34Z</cp:lastPrinted>
  <dcterms:created xsi:type="dcterms:W3CDTF">2020-09-29T17:23:37Z</dcterms:created>
  <dcterms:modified xsi:type="dcterms:W3CDTF">2026-06-22T18:52:35Z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