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Portal de Transparencia 2026/Marzo 2026/"/>
    </mc:Choice>
  </mc:AlternateContent>
  <xr:revisionPtr revIDLastSave="7" documentId="8_{60D727D3-6E0C-4935-ADAF-72A3A124CC96}" xr6:coauthVersionLast="47" xr6:coauthVersionMax="47" xr10:uidLastSave="{5A891B5B-725A-4AD9-BBF1-94917B5D9FBB}"/>
  <bookViews>
    <workbookView xWindow="-120" yWindow="-120" windowWidth="29040" windowHeight="15720" activeTab="3" xr2:uid="{00000000-000D-0000-FFFF-FFFF00000000}"/>
  </bookViews>
  <sheets>
    <sheet name="Personal fijo " sheetId="1" r:id="rId1"/>
    <sheet name="Periodo probatorio " sheetId="2" r:id="rId2"/>
    <sheet name="Temporal " sheetId="3" r:id="rId3"/>
    <sheet name="Vigilancia " sheetId="4" r:id="rId4"/>
  </sheets>
  <definedNames>
    <definedName name="_xlnm.Print_Area" localSheetId="0">'Personal fijo '!$A$1:$M$202</definedName>
    <definedName name="_xlnm.Print_Titles" localSheetId="0">'Personal fijo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4" l="1"/>
  <c r="L17" i="4"/>
  <c r="L18" i="4" s="1"/>
  <c r="K17" i="4"/>
  <c r="K18" i="4" s="1"/>
  <c r="I17" i="4"/>
  <c r="I18" i="4" s="1"/>
  <c r="H17" i="4"/>
  <c r="H18" i="4" s="1"/>
  <c r="G17" i="4"/>
  <c r="G18" i="4" s="1"/>
  <c r="M16" i="4"/>
  <c r="L16" i="4"/>
  <c r="L15" i="4"/>
  <c r="M15" i="4" s="1"/>
  <c r="L14" i="4"/>
  <c r="M14" i="4" s="1"/>
  <c r="L13" i="4"/>
  <c r="L12" i="4"/>
  <c r="M12" i="4" s="1"/>
  <c r="M17" i="4" s="1"/>
  <c r="M18" i="4" s="1"/>
  <c r="K92" i="3" l="1"/>
  <c r="K93" i="3" s="1"/>
  <c r="J92" i="3"/>
  <c r="I92" i="3"/>
  <c r="I93" i="3" s="1"/>
  <c r="H92" i="3"/>
  <c r="G92" i="3"/>
  <c r="G93" i="3" s="1"/>
  <c r="L91" i="3"/>
  <c r="M91" i="3" s="1"/>
  <c r="H90" i="3"/>
  <c r="L90" i="3" s="1"/>
  <c r="K87" i="3"/>
  <c r="J87" i="3"/>
  <c r="I87" i="3"/>
  <c r="G87" i="3"/>
  <c r="L86" i="3"/>
  <c r="M86" i="3" s="1"/>
  <c r="L85" i="3"/>
  <c r="M85" i="3" s="1"/>
  <c r="H84" i="3"/>
  <c r="L84" i="3" s="1"/>
  <c r="K81" i="3"/>
  <c r="I81" i="3"/>
  <c r="G81" i="3"/>
  <c r="L80" i="3"/>
  <c r="M80" i="3" s="1"/>
  <c r="J80" i="3"/>
  <c r="H80" i="3"/>
  <c r="H79" i="3"/>
  <c r="L79" i="3" s="1"/>
  <c r="M79" i="3" s="1"/>
  <c r="J78" i="3"/>
  <c r="J81" i="3" s="1"/>
  <c r="H78" i="3"/>
  <c r="L78" i="3" s="1"/>
  <c r="M78" i="3" s="1"/>
  <c r="H77" i="3"/>
  <c r="H81" i="3" s="1"/>
  <c r="L76" i="3"/>
  <c r="M76" i="3" s="1"/>
  <c r="H76" i="3"/>
  <c r="K73" i="3"/>
  <c r="J73" i="3"/>
  <c r="I73" i="3"/>
  <c r="G73" i="3"/>
  <c r="M72" i="3"/>
  <c r="H72" i="3"/>
  <c r="K66" i="3"/>
  <c r="I66" i="3"/>
  <c r="G66" i="3"/>
  <c r="J65" i="3"/>
  <c r="L65" i="3" s="1"/>
  <c r="M65" i="3" s="1"/>
  <c r="H65" i="3"/>
  <c r="L64" i="3"/>
  <c r="M64" i="3" s="1"/>
  <c r="J64" i="3"/>
  <c r="H64" i="3"/>
  <c r="H66" i="3" s="1"/>
  <c r="J63" i="3"/>
  <c r="L63" i="3" s="1"/>
  <c r="J58" i="3"/>
  <c r="H58" i="3"/>
  <c r="L58" i="3" s="1"/>
  <c r="M58" i="3" s="1"/>
  <c r="K55" i="3"/>
  <c r="J55" i="3"/>
  <c r="I55" i="3"/>
  <c r="H55" i="3"/>
  <c r="G55" i="3"/>
  <c r="L54" i="3"/>
  <c r="L55" i="3" s="1"/>
  <c r="M53" i="3"/>
  <c r="L53" i="3"/>
  <c r="K49" i="3"/>
  <c r="J49" i="3"/>
  <c r="I49" i="3"/>
  <c r="G49" i="3"/>
  <c r="H48" i="3"/>
  <c r="L48" i="3" s="1"/>
  <c r="M48" i="3" s="1"/>
  <c r="H47" i="3"/>
  <c r="L47" i="3" s="1"/>
  <c r="M47" i="3" s="1"/>
  <c r="H46" i="3"/>
  <c r="L46" i="3" s="1"/>
  <c r="M46" i="3" s="1"/>
  <c r="H45" i="3"/>
  <c r="L45" i="3" s="1"/>
  <c r="K42" i="3"/>
  <c r="H42" i="3"/>
  <c r="G42" i="3"/>
  <c r="L41" i="3"/>
  <c r="M41" i="3" s="1"/>
  <c r="J40" i="3"/>
  <c r="L40" i="3" s="1"/>
  <c r="K35" i="3"/>
  <c r="J35" i="3"/>
  <c r="I35" i="3"/>
  <c r="G35" i="3"/>
  <c r="H34" i="3"/>
  <c r="L34" i="3" s="1"/>
  <c r="K30" i="3"/>
  <c r="H30" i="3"/>
  <c r="G30" i="3"/>
  <c r="L29" i="3"/>
  <c r="L30" i="3" s="1"/>
  <c r="H29" i="3"/>
  <c r="K26" i="3"/>
  <c r="J26" i="3"/>
  <c r="I26" i="3"/>
  <c r="H26" i="3"/>
  <c r="G26" i="3"/>
  <c r="L25" i="3"/>
  <c r="M25" i="3" s="1"/>
  <c r="H24" i="3"/>
  <c r="L24" i="3" s="1"/>
  <c r="M23" i="3"/>
  <c r="L23" i="3"/>
  <c r="L20" i="3"/>
  <c r="K20" i="3"/>
  <c r="J20" i="3"/>
  <c r="I20" i="3"/>
  <c r="H20" i="3"/>
  <c r="G20" i="3"/>
  <c r="L19" i="3"/>
  <c r="M19" i="3" s="1"/>
  <c r="M20" i="3" s="1"/>
  <c r="K16" i="3"/>
  <c r="J16" i="3"/>
  <c r="I16" i="3"/>
  <c r="H16" i="3"/>
  <c r="G16" i="3"/>
  <c r="L15" i="3"/>
  <c r="L16" i="3" s="1"/>
  <c r="K12" i="3"/>
  <c r="J12" i="3"/>
  <c r="I12" i="3"/>
  <c r="H12" i="3"/>
  <c r="G12" i="3"/>
  <c r="L11" i="3"/>
  <c r="M11" i="3" s="1"/>
  <c r="H11" i="3"/>
  <c r="L10" i="3"/>
  <c r="L12" i="3" s="1"/>
  <c r="M26" i="3" l="1"/>
  <c r="L35" i="3"/>
  <c r="M34" i="3"/>
  <c r="M35" i="3" s="1"/>
  <c r="M24" i="3"/>
  <c r="L26" i="3"/>
  <c r="M40" i="3"/>
  <c r="M42" i="3" s="1"/>
  <c r="L42" i="3"/>
  <c r="M55" i="3"/>
  <c r="M90" i="3"/>
  <c r="M92" i="3" s="1"/>
  <c r="L92" i="3"/>
  <c r="L49" i="3"/>
  <c r="M45" i="3"/>
  <c r="M49" i="3" s="1"/>
  <c r="M84" i="3"/>
  <c r="M87" i="3" s="1"/>
  <c r="L87" i="3"/>
  <c r="L66" i="3"/>
  <c r="M63" i="3"/>
  <c r="M66" i="3" s="1"/>
  <c r="M54" i="3"/>
  <c r="L77" i="3"/>
  <c r="M77" i="3" s="1"/>
  <c r="M81" i="3" s="1"/>
  <c r="H87" i="3"/>
  <c r="H93" i="3" s="1"/>
  <c r="M15" i="3"/>
  <c r="M16" i="3" s="1"/>
  <c r="J42" i="3"/>
  <c r="J93" i="3" s="1"/>
  <c r="H35" i="3"/>
  <c r="M10" i="3"/>
  <c r="M12" i="3" s="1"/>
  <c r="H49" i="3"/>
  <c r="H73" i="3"/>
  <c r="L73" i="3" s="1"/>
  <c r="M73" i="3" s="1"/>
  <c r="J66" i="3"/>
  <c r="M29" i="3"/>
  <c r="M30" i="3" s="1"/>
  <c r="M93" i="3" l="1"/>
  <c r="L81" i="3"/>
  <c r="L93" i="3"/>
  <c r="L19" i="2" l="1"/>
  <c r="J19" i="2"/>
  <c r="I19" i="2"/>
  <c r="M18" i="2"/>
  <c r="M19" i="2" s="1"/>
  <c r="L18" i="2"/>
  <c r="K18" i="2"/>
  <c r="K19" i="2" s="1"/>
  <c r="I18" i="2"/>
  <c r="H18" i="2"/>
  <c r="H19" i="2" s="1"/>
  <c r="M17" i="2"/>
  <c r="N17" i="2" s="1"/>
  <c r="N18" i="2" s="1"/>
  <c r="N19" i="2" s="1"/>
  <c r="I186" i="1" l="1"/>
  <c r="H186" i="1"/>
  <c r="G186" i="1"/>
  <c r="K186" i="1" s="1"/>
  <c r="F186" i="1"/>
  <c r="L186" i="1" s="1"/>
  <c r="G166" i="1"/>
  <c r="F166" i="1"/>
  <c r="I150" i="1"/>
  <c r="H150" i="1"/>
  <c r="G150" i="1"/>
  <c r="F150" i="1"/>
  <c r="I141" i="1"/>
  <c r="H141" i="1"/>
  <c r="G141" i="1"/>
  <c r="F141" i="1"/>
  <c r="I126" i="1"/>
  <c r="H126" i="1"/>
  <c r="G126" i="1"/>
  <c r="K126" i="1" s="1"/>
  <c r="F126" i="1"/>
  <c r="F133" i="1"/>
  <c r="K58" i="1"/>
  <c r="I58" i="1"/>
  <c r="J54" i="1"/>
  <c r="H54" i="1"/>
  <c r="G54" i="1"/>
  <c r="J53" i="1"/>
  <c r="I53" i="1"/>
  <c r="H53" i="1"/>
  <c r="G53" i="1"/>
  <c r="F53" i="1"/>
  <c r="K194" i="1"/>
  <c r="L194" i="1" s="1"/>
  <c r="L193" i="1"/>
  <c r="H212" i="1"/>
  <c r="G215" i="1"/>
  <c r="F215" i="1"/>
  <c r="E215" i="1"/>
  <c r="D215" i="1"/>
  <c r="C215" i="1"/>
  <c r="H214" i="1"/>
  <c r="I214" i="1" s="1"/>
  <c r="H213" i="1"/>
  <c r="I213" i="1" s="1"/>
  <c r="K43" i="1"/>
  <c r="G46" i="1"/>
  <c r="F46" i="1"/>
  <c r="I37" i="1"/>
  <c r="H37" i="1"/>
  <c r="G37" i="1"/>
  <c r="F37" i="1"/>
  <c r="H58" i="1"/>
  <c r="G58" i="1"/>
  <c r="F58" i="1"/>
  <c r="F54" i="1"/>
  <c r="F75" i="1"/>
  <c r="I75" i="1"/>
  <c r="G75" i="1"/>
  <c r="I32" i="1"/>
  <c r="G32" i="1"/>
  <c r="F32" i="1"/>
  <c r="I24" i="1"/>
  <c r="H24" i="1"/>
  <c r="G24" i="1"/>
  <c r="F24" i="1"/>
  <c r="J123" i="1"/>
  <c r="J133" i="1"/>
  <c r="I133" i="1"/>
  <c r="H133" i="1"/>
  <c r="G133" i="1"/>
  <c r="K120" i="1"/>
  <c r="K75" i="1" l="1"/>
  <c r="K54" i="1"/>
  <c r="K150" i="1"/>
  <c r="K53" i="1"/>
  <c r="L53" i="1" s="1"/>
  <c r="L54" i="1"/>
  <c r="K37" i="1"/>
  <c r="L37" i="1" s="1"/>
  <c r="K141" i="1"/>
  <c r="L141" i="1" s="1"/>
  <c r="L150" i="1"/>
  <c r="K24" i="1"/>
  <c r="L24" i="1" s="1"/>
  <c r="H215" i="1"/>
  <c r="I212" i="1"/>
  <c r="G21" i="1"/>
  <c r="F21" i="1"/>
  <c r="K15" i="1"/>
  <c r="I215" i="1" l="1"/>
  <c r="I216" i="1"/>
  <c r="J172" i="1"/>
  <c r="K171" i="1"/>
  <c r="L171" i="1" s="1"/>
  <c r="J86" i="1"/>
  <c r="J32" i="1"/>
  <c r="K32" i="1" s="1"/>
  <c r="L32" i="1" s="1"/>
  <c r="F192" i="1" l="1"/>
  <c r="H192" i="1"/>
  <c r="J192" i="1"/>
  <c r="J182" i="1"/>
  <c r="I182" i="1"/>
  <c r="H182" i="1"/>
  <c r="G182" i="1"/>
  <c r="F182" i="1"/>
  <c r="G172" i="1"/>
  <c r="I166" i="1"/>
  <c r="I172" i="1" s="1"/>
  <c r="H166" i="1"/>
  <c r="H172" i="1" s="1"/>
  <c r="F172" i="1"/>
  <c r="I147" i="1"/>
  <c r="G147" i="1"/>
  <c r="K147" i="1" s="1"/>
  <c r="F147" i="1"/>
  <c r="F66" i="1"/>
  <c r="I100" i="1"/>
  <c r="H100" i="1"/>
  <c r="H101" i="1" s="1"/>
  <c r="G100" i="1"/>
  <c r="F100" i="1"/>
  <c r="F101" i="1" s="1"/>
  <c r="H55" i="1"/>
  <c r="L147" i="1" l="1"/>
  <c r="K166" i="1"/>
  <c r="L166" i="1" s="1"/>
  <c r="K100" i="1"/>
  <c r="L100" i="1" s="1"/>
  <c r="I191" i="1" l="1"/>
  <c r="I192" i="1" s="1"/>
  <c r="G191" i="1"/>
  <c r="G190" i="1"/>
  <c r="J187" i="1"/>
  <c r="I187" i="1"/>
  <c r="H187" i="1"/>
  <c r="F187" i="1"/>
  <c r="K185" i="1"/>
  <c r="L185" i="1" s="1"/>
  <c r="K180" i="1"/>
  <c r="L180" i="1" s="1"/>
  <c r="K179" i="1"/>
  <c r="L179" i="1" s="1"/>
  <c r="K178" i="1"/>
  <c r="L178" i="1" s="1"/>
  <c r="K177" i="1"/>
  <c r="K176" i="1"/>
  <c r="L176" i="1" s="1"/>
  <c r="K175" i="1"/>
  <c r="K169" i="1"/>
  <c r="L169" i="1" s="1"/>
  <c r="K168" i="1"/>
  <c r="L168" i="1" s="1"/>
  <c r="K167" i="1"/>
  <c r="L167" i="1" s="1"/>
  <c r="K165" i="1"/>
  <c r="L165" i="1" s="1"/>
  <c r="K164" i="1"/>
  <c r="L164" i="1" s="1"/>
  <c r="K163" i="1"/>
  <c r="L163" i="1" s="1"/>
  <c r="K162" i="1"/>
  <c r="K161" i="1"/>
  <c r="J158" i="1"/>
  <c r="H158" i="1"/>
  <c r="F158" i="1"/>
  <c r="I157" i="1"/>
  <c r="G157" i="1"/>
  <c r="G156" i="1"/>
  <c r="K156" i="1" s="1"/>
  <c r="L156" i="1" s="1"/>
  <c r="I155" i="1"/>
  <c r="G155" i="1"/>
  <c r="J152" i="1"/>
  <c r="I152" i="1"/>
  <c r="H152" i="1"/>
  <c r="G152" i="1"/>
  <c r="F152" i="1"/>
  <c r="K151" i="1"/>
  <c r="L151" i="1" s="1"/>
  <c r="K149" i="1"/>
  <c r="L149" i="1" s="1"/>
  <c r="K148" i="1"/>
  <c r="L148" i="1" s="1"/>
  <c r="K132" i="1"/>
  <c r="L132" i="1" s="1"/>
  <c r="J142" i="1"/>
  <c r="I142" i="1"/>
  <c r="H142" i="1"/>
  <c r="G142" i="1"/>
  <c r="F142" i="1"/>
  <c r="K140" i="1"/>
  <c r="L140" i="1" s="1"/>
  <c r="K139" i="1"/>
  <c r="L139" i="1" s="1"/>
  <c r="K138" i="1"/>
  <c r="L138" i="1" s="1"/>
  <c r="K137" i="1"/>
  <c r="K131" i="1"/>
  <c r="L131" i="1" s="1"/>
  <c r="K130" i="1"/>
  <c r="J127" i="1"/>
  <c r="H127" i="1"/>
  <c r="F127" i="1"/>
  <c r="I127" i="1"/>
  <c r="I123" i="1"/>
  <c r="H123" i="1"/>
  <c r="G123" i="1"/>
  <c r="F123" i="1"/>
  <c r="K122" i="1"/>
  <c r="L122" i="1" s="1"/>
  <c r="K121" i="1"/>
  <c r="L121" i="1" s="1"/>
  <c r="L120" i="1"/>
  <c r="K119" i="1"/>
  <c r="L119" i="1" s="1"/>
  <c r="K118" i="1"/>
  <c r="L118" i="1" s="1"/>
  <c r="K117" i="1"/>
  <c r="L117" i="1" s="1"/>
  <c r="K116" i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J101" i="1"/>
  <c r="I101" i="1"/>
  <c r="G101" i="1"/>
  <c r="L101" i="1"/>
  <c r="J97" i="1"/>
  <c r="I97" i="1"/>
  <c r="H97" i="1"/>
  <c r="G97" i="1"/>
  <c r="F97" i="1"/>
  <c r="K96" i="1"/>
  <c r="L96" i="1" s="1"/>
  <c r="K95" i="1"/>
  <c r="L95" i="1" s="1"/>
  <c r="K94" i="1"/>
  <c r="L94" i="1" s="1"/>
  <c r="K93" i="1"/>
  <c r="L93" i="1" s="1"/>
  <c r="K92" i="1"/>
  <c r="L92" i="1" s="1"/>
  <c r="K91" i="1"/>
  <c r="L91" i="1" s="1"/>
  <c r="K90" i="1"/>
  <c r="L90" i="1" s="1"/>
  <c r="K170" i="1"/>
  <c r="L170" i="1" s="1"/>
  <c r="K181" i="1"/>
  <c r="L181" i="1" s="1"/>
  <c r="K89" i="1"/>
  <c r="L89" i="1" s="1"/>
  <c r="I86" i="1"/>
  <c r="H86" i="1"/>
  <c r="G86" i="1"/>
  <c r="F86" i="1"/>
  <c r="K85" i="1"/>
  <c r="L85" i="1" s="1"/>
  <c r="L84" i="1"/>
  <c r="K83" i="1"/>
  <c r="J80" i="1"/>
  <c r="H80" i="1"/>
  <c r="F80" i="1"/>
  <c r="I79" i="1"/>
  <c r="I80" i="1" s="1"/>
  <c r="G79" i="1"/>
  <c r="J76" i="1"/>
  <c r="I76" i="1"/>
  <c r="H76" i="1"/>
  <c r="F76" i="1"/>
  <c r="L75" i="1"/>
  <c r="K74" i="1"/>
  <c r="J68" i="1"/>
  <c r="I68" i="1"/>
  <c r="H68" i="1"/>
  <c r="G68" i="1"/>
  <c r="K67" i="1"/>
  <c r="L67" i="1" s="1"/>
  <c r="K66" i="1"/>
  <c r="L66" i="1" s="1"/>
  <c r="K65" i="1"/>
  <c r="L65" i="1" s="1"/>
  <c r="K64" i="1"/>
  <c r="L64" i="1" s="1"/>
  <c r="K63" i="1"/>
  <c r="L63" i="1" s="1"/>
  <c r="K62" i="1"/>
  <c r="J59" i="1"/>
  <c r="I59" i="1"/>
  <c r="H59" i="1"/>
  <c r="G59" i="1"/>
  <c r="F59" i="1"/>
  <c r="K59" i="1"/>
  <c r="J55" i="1"/>
  <c r="F55" i="1"/>
  <c r="I55" i="1"/>
  <c r="J50" i="1"/>
  <c r="I50" i="1"/>
  <c r="H50" i="1"/>
  <c r="G50" i="1"/>
  <c r="F50" i="1"/>
  <c r="K49" i="1"/>
  <c r="L49" i="1" s="1"/>
  <c r="K48" i="1"/>
  <c r="L48" i="1" s="1"/>
  <c r="K47" i="1"/>
  <c r="L47" i="1" s="1"/>
  <c r="L46" i="1"/>
  <c r="K45" i="1"/>
  <c r="L45" i="1" s="1"/>
  <c r="K44" i="1"/>
  <c r="L44" i="1" s="1"/>
  <c r="L43" i="1"/>
  <c r="J39" i="1"/>
  <c r="I39" i="1"/>
  <c r="H39" i="1"/>
  <c r="G39" i="1"/>
  <c r="F39" i="1"/>
  <c r="K38" i="1"/>
  <c r="K36" i="1"/>
  <c r="L36" i="1" s="1"/>
  <c r="J33" i="1"/>
  <c r="I33" i="1"/>
  <c r="H33" i="1"/>
  <c r="G33" i="1"/>
  <c r="F33" i="1"/>
  <c r="K31" i="1"/>
  <c r="L31" i="1" s="1"/>
  <c r="K30" i="1"/>
  <c r="L30" i="1" s="1"/>
  <c r="K29" i="1"/>
  <c r="L29" i="1" s="1"/>
  <c r="K28" i="1"/>
  <c r="L28" i="1" s="1"/>
  <c r="J25" i="1"/>
  <c r="I25" i="1"/>
  <c r="H25" i="1"/>
  <c r="F25" i="1"/>
  <c r="K25" i="1"/>
  <c r="J21" i="1"/>
  <c r="I21" i="1"/>
  <c r="H21" i="1"/>
  <c r="K20" i="1"/>
  <c r="L20" i="1" s="1"/>
  <c r="K19" i="1"/>
  <c r="L19" i="1" s="1"/>
  <c r="K18" i="1"/>
  <c r="L18" i="1" s="1"/>
  <c r="K17" i="1"/>
  <c r="L17" i="1" s="1"/>
  <c r="K16" i="1"/>
  <c r="L16" i="1" s="1"/>
  <c r="L15" i="1"/>
  <c r="K14" i="1"/>
  <c r="L14" i="1" s="1"/>
  <c r="K13" i="1"/>
  <c r="L13" i="1" s="1"/>
  <c r="K12" i="1"/>
  <c r="L12" i="1" s="1"/>
  <c r="K11" i="1"/>
  <c r="L11" i="1" s="1"/>
  <c r="K10" i="1"/>
  <c r="L10" i="1" s="1"/>
  <c r="L130" i="1" l="1"/>
  <c r="L133" i="1" s="1"/>
  <c r="K133" i="1"/>
  <c r="L187" i="1"/>
  <c r="K155" i="1"/>
  <c r="L155" i="1" s="1"/>
  <c r="L162" i="1"/>
  <c r="K172" i="1"/>
  <c r="K76" i="1"/>
  <c r="L175" i="1"/>
  <c r="K182" i="1"/>
  <c r="K190" i="1"/>
  <c r="G192" i="1"/>
  <c r="K79" i="1"/>
  <c r="K80" i="1" s="1"/>
  <c r="K127" i="1"/>
  <c r="K187" i="1"/>
  <c r="G187" i="1"/>
  <c r="K157" i="1"/>
  <c r="L157" i="1" s="1"/>
  <c r="G158" i="1"/>
  <c r="K191" i="1"/>
  <c r="L191" i="1" s="1"/>
  <c r="K123" i="1"/>
  <c r="K152" i="1"/>
  <c r="I158" i="1"/>
  <c r="K142" i="1"/>
  <c r="K97" i="1"/>
  <c r="L97" i="1"/>
  <c r="L177" i="1"/>
  <c r="L161" i="1"/>
  <c r="L152" i="1"/>
  <c r="L116" i="1"/>
  <c r="L123" i="1" s="1"/>
  <c r="G127" i="1"/>
  <c r="L137" i="1"/>
  <c r="L142" i="1" s="1"/>
  <c r="K101" i="1"/>
  <c r="L55" i="1"/>
  <c r="G25" i="1"/>
  <c r="K33" i="1"/>
  <c r="L25" i="1"/>
  <c r="G76" i="1"/>
  <c r="K86" i="1"/>
  <c r="L86" i="1" s="1"/>
  <c r="K39" i="1"/>
  <c r="K50" i="1"/>
  <c r="G80" i="1"/>
  <c r="K68" i="1"/>
  <c r="L83" i="1"/>
  <c r="L62" i="1"/>
  <c r="L68" i="1" s="1"/>
  <c r="L74" i="1"/>
  <c r="L76" i="1" s="1"/>
  <c r="L50" i="1"/>
  <c r="G55" i="1"/>
  <c r="L58" i="1"/>
  <c r="L59" i="1" s="1"/>
  <c r="L21" i="1"/>
  <c r="L33" i="1"/>
  <c r="K21" i="1"/>
  <c r="L38" i="1"/>
  <c r="L39" i="1" s="1"/>
  <c r="L172" i="1" l="1"/>
  <c r="L190" i="1"/>
  <c r="L192" i="1" s="1"/>
  <c r="K192" i="1"/>
  <c r="L79" i="1"/>
  <c r="L80" i="1" s="1"/>
  <c r="L182" i="1"/>
  <c r="L126" i="1"/>
  <c r="L127" i="1" s="1"/>
  <c r="K158" i="1"/>
  <c r="L158" i="1" s="1"/>
  <c r="K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Ivis N. Montero Matos</author>
  </authors>
  <commentList>
    <comment ref="L158" authorId="0" shapeId="0" xr:uid="{65736D90-A1AD-4FBB-B223-189E692F27B3}">
      <text>
        <r>
          <rPr>
            <b/>
            <sz val="9"/>
            <color indexed="81"/>
            <rFont val="Tahoma"/>
            <family val="2"/>
          </rPr>
          <t>Ivis N. Montero Matos:</t>
        </r>
        <r>
          <rPr>
            <sz val="9"/>
            <color indexed="81"/>
            <rFont val="Tahoma"/>
            <family val="2"/>
          </rPr>
          <t xml:space="preserve">
CONTINUAR AQUÍ CON DIFERENCIA DE 0.60</t>
        </r>
      </text>
    </comment>
  </commentList>
</comments>
</file>

<file path=xl/sharedStrings.xml><?xml version="1.0" encoding="utf-8"?>
<sst xmlns="http://schemas.openxmlformats.org/spreadsheetml/2006/main" count="1337" uniqueCount="375">
  <si>
    <t>No.</t>
  </si>
  <si>
    <t>Servidor Público</t>
  </si>
  <si>
    <t>Cargo</t>
  </si>
  <si>
    <t>Estatus</t>
  </si>
  <si>
    <t>AFP</t>
  </si>
  <si>
    <t>SFS</t>
  </si>
  <si>
    <t>ISR</t>
  </si>
  <si>
    <t>DIRECTOR GENERAL</t>
  </si>
  <si>
    <t>SRA. CATALINA FELIZ TERRERO</t>
  </si>
  <si>
    <t>TECNICO ADMINISTRATIVO</t>
  </si>
  <si>
    <t>Actividad: 0001</t>
  </si>
  <si>
    <t>Actividad: 0002</t>
  </si>
  <si>
    <t>COORDINADOR ACADEMICO</t>
  </si>
  <si>
    <t>Genero</t>
  </si>
  <si>
    <t>M</t>
  </si>
  <si>
    <t>F</t>
  </si>
  <si>
    <t>DAF: 01</t>
  </si>
  <si>
    <t>UE: 0002</t>
  </si>
  <si>
    <t>Programa: 17</t>
  </si>
  <si>
    <t>Proyecto: 0</t>
  </si>
  <si>
    <t>Fondo: 0100</t>
  </si>
  <si>
    <t xml:space="preserve">                              PREPARADO POR:</t>
  </si>
  <si>
    <t>APROBADO POR:</t>
  </si>
  <si>
    <t>REVISADO POR:</t>
  </si>
  <si>
    <t>Sub Total:</t>
  </si>
  <si>
    <t>ENC. ADMINISTRATIVO FINANCIERO</t>
  </si>
  <si>
    <t>Sub Capitulo: 01</t>
  </si>
  <si>
    <t>Sub Programa: 02</t>
  </si>
  <si>
    <t>Ingreso Bruto</t>
  </si>
  <si>
    <t>Neto</t>
  </si>
  <si>
    <t>Total Desc.</t>
  </si>
  <si>
    <t>Otros Desc.</t>
  </si>
  <si>
    <t xml:space="preserve">COORDINADOR ACADÉMICO         </t>
  </si>
  <si>
    <t xml:space="preserve">TÉCNICO ADMINISTRATIVO         </t>
  </si>
  <si>
    <t>ANALISTA FINANCIERO</t>
  </si>
  <si>
    <t>SR. GREGORIO MONTERO</t>
  </si>
  <si>
    <t>ANALISTA DE RECURSOS HUMANOS</t>
  </si>
  <si>
    <t>ANALISTA LEGAL</t>
  </si>
  <si>
    <t>Capitulo: 0221</t>
  </si>
  <si>
    <t>Cuenta: 2.1.1.1.0.1</t>
  </si>
  <si>
    <t>Dirección General</t>
  </si>
  <si>
    <t>ROSA LINDA PEREZ MEDRANO</t>
  </si>
  <si>
    <t>ASISTENTE DEL DIRECTOR</t>
  </si>
  <si>
    <t>SERVIDOR PÚBLICO DE CARRERA</t>
  </si>
  <si>
    <t>GREGORIO DE JESUS MONTERO MONTERO</t>
  </si>
  <si>
    <t xml:space="preserve">FUNCIONARIO DE LIBRE NOMBRAMIENTO Y REMOCIÓN </t>
  </si>
  <si>
    <t>ROSA CAMILA RIVERA ACOSTA</t>
  </si>
  <si>
    <t>SUB DIRECTORA</t>
  </si>
  <si>
    <t>ANGEL EDUARDO FAMILIA JIMENEZ</t>
  </si>
  <si>
    <t>SUB-DIRECTOR</t>
  </si>
  <si>
    <t>FRANCISCO ANIBAL GONZALEZ</t>
  </si>
  <si>
    <t>ASESOR (A)</t>
  </si>
  <si>
    <t>SERVIDOR PUBLICO NOMBRADO</t>
  </si>
  <si>
    <t>SONIA ESTHER LOPEZ PEREZ</t>
  </si>
  <si>
    <t>LESLIE SIRAHIDEE UREÑA MELLA</t>
  </si>
  <si>
    <t>ASISTENTE DE LA SUBDIRECCION</t>
  </si>
  <si>
    <t>SERVIDOR PÚBLICO NOMBRADO</t>
  </si>
  <si>
    <t>SARAH STEFFANY TORRES GOMEZ</t>
  </si>
  <si>
    <t>SANDY NICOLAS LUCIANO MATOS</t>
  </si>
  <si>
    <t>CHOFER DEL DIRECTOR</t>
  </si>
  <si>
    <t>DANESCA MARRERO MARCANO</t>
  </si>
  <si>
    <t>ERICKA LORENZO DE LA ROSA</t>
  </si>
  <si>
    <t>CONSERJE</t>
  </si>
  <si>
    <t>Sección de Libre Acceso a la Información</t>
  </si>
  <si>
    <t>DRIADES NAYADE FERRERAS GOMEZ</t>
  </si>
  <si>
    <t>ENC. SECCION LIBRE ACCESO A LA INFORMACION  RAI</t>
  </si>
  <si>
    <t>Departamento de Comunicaciones</t>
  </si>
  <si>
    <t>MIGUEL ANGEL BONIFACIO PEÑA</t>
  </si>
  <si>
    <t>REALIZADOR AUDIOVISUAL</t>
  </si>
  <si>
    <t>JACQUELINE ALTAGRACIA RAMOS CONCEPCION</t>
  </si>
  <si>
    <t>ASESORA</t>
  </si>
  <si>
    <t>GIANNA  DE JESUS ORTIZ ZACARIAS</t>
  </si>
  <si>
    <t>ARLET NATIVIDAD REYES ROJAS</t>
  </si>
  <si>
    <t>GESTOR DE REDES SOCIALES</t>
  </si>
  <si>
    <t>SADAM SEBASTIAN SURIEL DELORBE</t>
  </si>
  <si>
    <t>TECNICO EN COMUNICACIÓN</t>
  </si>
  <si>
    <t xml:space="preserve">Departamento Jurídico </t>
  </si>
  <si>
    <t>ALTAGRACIA SVELTRINA GARCIA SICARD DE DIAZ</t>
  </si>
  <si>
    <t>ENC. DEPTO. JURIDICO</t>
  </si>
  <si>
    <t>MANUEL ANTONIO BAUTISTA MEJIA</t>
  </si>
  <si>
    <t>YASAIRA ENCARNACION LARA</t>
  </si>
  <si>
    <t>AUXILIAR ADMINISTRATIVO I</t>
  </si>
  <si>
    <t>Departamento de Recursos Humanos</t>
  </si>
  <si>
    <t>CLARIVEL CASTRO</t>
  </si>
  <si>
    <t>ENC. DPTO. DE RECURSOS HUMANO</t>
  </si>
  <si>
    <t>MARIA ESTELA CLEMENTE GIL</t>
  </si>
  <si>
    <t>ENC, DPTO. DE RECURSOS HUMANOS</t>
  </si>
  <si>
    <t>SERVIDOR PUBLICO DE CARRERA</t>
  </si>
  <si>
    <t>DEBRA STEPHANIE HERNANDEZ MORALES</t>
  </si>
  <si>
    <t>SONIA CASTILLO GERALDO</t>
  </si>
  <si>
    <t>JOSE AMAURIS NOBLE JIMENEZ</t>
  </si>
  <si>
    <t>RUT SOLANGE GUZMAN ADAMES</t>
  </si>
  <si>
    <t>DAURY CASANOVA MONTERO</t>
  </si>
  <si>
    <t>SECRETARIA</t>
  </si>
  <si>
    <t>Departamento de Planificación y Desarrollo</t>
  </si>
  <si>
    <t>División Contabilidad</t>
  </si>
  <si>
    <t>MARIA TERESA LEON PAULINO DE RODRIGUEZ</t>
  </si>
  <si>
    <t>BERONICA BONILLA</t>
  </si>
  <si>
    <t>AUXILIAR ADMINISTRATIVO (A)</t>
  </si>
  <si>
    <t>División de Desarrollo Institucional y Calidad de la Gestión</t>
  </si>
  <si>
    <t>CRONNY MABEL PEREZ  PEREZ</t>
  </si>
  <si>
    <t>ENC. INTERINA DEPTO. DE DESARROLLO INSTITUCIONAL Y CALIDAD</t>
  </si>
  <si>
    <t>Departamento de Tecnologías de la Información y Comunicación</t>
  </si>
  <si>
    <t>NARCISO JIMENEZ DE LOS SANTOS</t>
  </si>
  <si>
    <t>AUXILIAR COORDINANCION VIRTUAL</t>
  </si>
  <si>
    <t>ANGEL WANDER MOREZUX FULCAR</t>
  </si>
  <si>
    <t>ADMINISTRADOR DE RED</t>
  </si>
  <si>
    <t>CHEEDY JIOWETHER JAMES</t>
  </si>
  <si>
    <t>ENC. DIVISION DE TECNOLOGIAS DE LA INFORMACION Y COMUNICACION</t>
  </si>
  <si>
    <t>RAFAEL ANTONIO TAVAREZ ROSADO</t>
  </si>
  <si>
    <t>WEB MASTER</t>
  </si>
  <si>
    <t>RAFAEL ANGEL MARTINEZ SORIANO</t>
  </si>
  <si>
    <t>TECNICO EN PROGRAMACION</t>
  </si>
  <si>
    <t>FABIAN ESTABAN MATOS ENCARNACION</t>
  </si>
  <si>
    <t>AUXILIAR ADMINISTRATIVO</t>
  </si>
  <si>
    <t>Departamento Administrativo Financiero</t>
  </si>
  <si>
    <t>CATALINA FELIZ TERRERO</t>
  </si>
  <si>
    <t>ENC. ADMINISTRATIVO Y FINANCIERO</t>
  </si>
  <si>
    <t>LLUMERQUI ANTONIO LEDESMA DIAZ</t>
  </si>
  <si>
    <t>Sección de Presupuesto</t>
  </si>
  <si>
    <t>JUANA MARIA RODRIGUEZ GARCIA</t>
  </si>
  <si>
    <t>División de Contabilidad</t>
  </si>
  <si>
    <t>KATHIA VELEZ RAMIREZ</t>
  </si>
  <si>
    <t xml:space="preserve">ANALISTA DE COMPRAS Y CONTRATACIONES   </t>
  </si>
  <si>
    <t>IVIS NEWILL MONTERO MATOS</t>
  </si>
  <si>
    <t>CONTADORA</t>
  </si>
  <si>
    <t>ALBA IRIS PEÑA MARRERO</t>
  </si>
  <si>
    <t>División Administrativa</t>
  </si>
  <si>
    <t>EMILIANO DEL ROSARIO GENAO</t>
  </si>
  <si>
    <t>CONTADOR</t>
  </si>
  <si>
    <t>SUSANA DURAN SANCHEZ</t>
  </si>
  <si>
    <t>RECEPCIONISTA</t>
  </si>
  <si>
    <t>FATIMA DEL ROSARIO MESA BATISTA</t>
  </si>
  <si>
    <t>VICTOR ALFONSO MORILLO GONZALEZ</t>
  </si>
  <si>
    <t>DEURI LARA SUAREZ</t>
  </si>
  <si>
    <t>CHOFER</t>
  </si>
  <si>
    <t>ALEXANDRA ACOSTA</t>
  </si>
  <si>
    <t>DANIS RAMIREZ MONTERO</t>
  </si>
  <si>
    <t>MARIA ALEJANDRINA MELENDEZ GERALDO</t>
  </si>
  <si>
    <t xml:space="preserve">AUXILIAR ADMINISTRATIVO         </t>
  </si>
  <si>
    <t>NICOLLE FRANSHESCA CANARIO SANTOS</t>
  </si>
  <si>
    <t>JORDANY ROSARIO MARTINEZ</t>
  </si>
  <si>
    <t>Sección de Compras y Contrataciones</t>
  </si>
  <si>
    <t>KEICI ORTIZ BATISTA</t>
  </si>
  <si>
    <t>Sección de Servicios Generales</t>
  </si>
  <si>
    <t>ANTONIO VENTURA</t>
  </si>
  <si>
    <t>ANA HILDA RAMIREZ MELLA</t>
  </si>
  <si>
    <t>ABRAHAN FRANCISCO COMARAZAMY FLORENTINO</t>
  </si>
  <si>
    <t>ENC. SECCION DE SERVICIO GENERALES</t>
  </si>
  <si>
    <t>REGINA JIMENEZ DE LA CRUZ</t>
  </si>
  <si>
    <t>SERVIDOR PÚBLISO DE CARRERA</t>
  </si>
  <si>
    <t>AURELINA ROJAS</t>
  </si>
  <si>
    <t>HERMINIA ENCARNACION ROSARIO</t>
  </si>
  <si>
    <t>ELENA FLORENTINO</t>
  </si>
  <si>
    <t>YAJAHIRA GARCIA CLETO</t>
  </si>
  <si>
    <t xml:space="preserve">CONSERJE </t>
  </si>
  <si>
    <t xml:space="preserve">CARLOS JESUS ALMEYDA CALCAÑO </t>
  </si>
  <si>
    <t>ELECTRICISTA</t>
  </si>
  <si>
    <t>WINSTON RAFAEL CABRERA ENCARNACION</t>
  </si>
  <si>
    <t>AYUDANTE DE MATENIMIENTO</t>
  </si>
  <si>
    <t>JOSE GALAN ROSARIO</t>
  </si>
  <si>
    <t>ALEX MILLER BAEZ URIBE</t>
  </si>
  <si>
    <t>MILCO JUNIOR PILARTE RODRÍGUEZ</t>
  </si>
  <si>
    <t>MENSAJERO EXTERNO</t>
  </si>
  <si>
    <t>BRYAN ANEURYS CABRERA RODRÍGUEZ</t>
  </si>
  <si>
    <t xml:space="preserve">CHOFER         </t>
  </si>
  <si>
    <t>RANDY ANTHONY MARTINEZ LEYBA</t>
  </si>
  <si>
    <t>CAROLINA VARGAS VASQUEZ</t>
  </si>
  <si>
    <t>EDWARD MARTINEZ POZO</t>
  </si>
  <si>
    <t>KELVIN REVI ALMANZAR</t>
  </si>
  <si>
    <t>PABLO ANTONIO DIAZ GARCIA</t>
  </si>
  <si>
    <t>Sección de Almacén</t>
  </si>
  <si>
    <t>JERSON RIVERA FIGUEREO</t>
  </si>
  <si>
    <t xml:space="preserve">Departamento de Formación Docente </t>
  </si>
  <si>
    <t>WILKANIA YASSIEL PEÑA ROJAS</t>
  </si>
  <si>
    <t>ROSA MARIA BONILLA MONTERO</t>
  </si>
  <si>
    <t>Sub-Capitulo: 01</t>
  </si>
  <si>
    <t>UE:
0002</t>
  </si>
  <si>
    <t>Sub-Programa 
02</t>
  </si>
  <si>
    <t>Proyecto 
0</t>
  </si>
  <si>
    <t>Cuenta 2.1.1.1.0.1</t>
  </si>
  <si>
    <t>Fondo:
0100</t>
  </si>
  <si>
    <t xml:space="preserve">Departamento de Investigación e Innovación </t>
  </si>
  <si>
    <t>ALEXANDRA IRONIA LIBERATO RODRIGUEZ</t>
  </si>
  <si>
    <t xml:space="preserve">ENC. DEPARTAMENTO INVESTIGACION         </t>
  </si>
  <si>
    <t>NANCY MIGUELINA DRULLARD FELIZ</t>
  </si>
  <si>
    <t>HILDA ARASELIS CASTRO HUGGINS</t>
  </si>
  <si>
    <t>ANALISTA DE ACREDITACION Y CERTIFICACION</t>
  </si>
  <si>
    <t>HEIDI CAROLINA DE LA CRUZ</t>
  </si>
  <si>
    <t>IAN CRISTIAN SOTO FELIX</t>
  </si>
  <si>
    <t xml:space="preserve">TECNICO ADMINISTRATIVO </t>
  </si>
  <si>
    <t>Departamento Técnico Académico</t>
  </si>
  <si>
    <t>DEILIN RICARDO MATOS CARRASCO</t>
  </si>
  <si>
    <t>AUXILIAR ACADEMICO</t>
  </si>
  <si>
    <t>RIXI ALONDRA MELO AQUINO</t>
  </si>
  <si>
    <t>ALBERT MANUEL FIGUEREO RINCON</t>
  </si>
  <si>
    <t>LEA PAULINO MORALES</t>
  </si>
  <si>
    <t>JULANY VALENTINA CUESTA GUZMAN</t>
  </si>
  <si>
    <t>ENC. DEPARTAMENTO TECNICO ACADEMICO</t>
  </si>
  <si>
    <t>MIGUELINA CORPORAN RODRIGUEZ</t>
  </si>
  <si>
    <t>División de Desarrollo Curricular y Docente</t>
  </si>
  <si>
    <t>LUZ MARIA BATISTA GALVAN</t>
  </si>
  <si>
    <t>COORDINADORA CAPAC. Y DESARROLLO</t>
  </si>
  <si>
    <t>BERTHA LIDIA ESPINOSA PEREZ</t>
  </si>
  <si>
    <t>ENC. DIVISION DE GESTION DE ADMISION ACADEMICA</t>
  </si>
  <si>
    <t>ANA PATRICIA CASTRO MENDOZA</t>
  </si>
  <si>
    <t>Departamento de Extensiones</t>
  </si>
  <si>
    <r>
      <t xml:space="preserve">KIRSY ALANA MEJIA UBIERA </t>
    </r>
    <r>
      <rPr>
        <i/>
        <sz val="12"/>
        <color rgb="FF000000"/>
        <rFont val="Times New Roman"/>
        <family val="1"/>
      </rPr>
      <t>(San Pedro de Macorís)</t>
    </r>
  </si>
  <si>
    <r>
      <t>MARIO RODRIGUEZ MONTERO</t>
    </r>
    <r>
      <rPr>
        <i/>
        <sz val="12"/>
        <color rgb="FF000000"/>
        <rFont val="Times New Roman"/>
        <family val="1"/>
      </rPr>
      <t xml:space="preserve"> (San Juan de la Maguana)</t>
    </r>
  </si>
  <si>
    <t>EURIDICE WALKIRIA DIAZ LIRANZO</t>
  </si>
  <si>
    <t>SECRETARIA I</t>
  </si>
  <si>
    <r>
      <t xml:space="preserve">BELLANIRIS SANTOS REYES </t>
    </r>
    <r>
      <rPr>
        <i/>
        <sz val="12"/>
        <color rgb="FF000000"/>
        <rFont val="Times New Roman"/>
        <family val="1"/>
      </rPr>
      <t>(La Vega)</t>
    </r>
  </si>
  <si>
    <r>
      <t xml:space="preserve">YORCITO MATOS SANTOS </t>
    </r>
    <r>
      <rPr>
        <i/>
        <sz val="12"/>
        <color rgb="FF000000"/>
        <rFont val="Times New Roman"/>
        <family val="1"/>
      </rPr>
      <t>(Baní)</t>
    </r>
  </si>
  <si>
    <t>CARLOS MANUEL SANTOS</t>
  </si>
  <si>
    <t>ENC. DIVISION DE EXTENCIONES</t>
  </si>
  <si>
    <r>
      <t xml:space="preserve">RAMON FERNANDO TAVAREZ REYNOSO </t>
    </r>
    <r>
      <rPr>
        <i/>
        <sz val="12"/>
        <color rgb="FF000000"/>
        <rFont val="Times New Roman"/>
        <family val="1"/>
      </rPr>
      <t>(Santiago de los Caballeros)</t>
    </r>
  </si>
  <si>
    <t xml:space="preserve">AUXILIAR ADMINISTRATIVO </t>
  </si>
  <si>
    <t>PAMELA ARACHE</t>
  </si>
  <si>
    <t>BIENVENIDO ROSARIO CEBALLOS (Santiago de los Caballeros)</t>
  </si>
  <si>
    <t>División de  Coordinación de Eventos Formativos</t>
  </si>
  <si>
    <t>NICOLAS SALAS GRAJALES</t>
  </si>
  <si>
    <t>SANTA TERESA LOPEZ FELIZ</t>
  </si>
  <si>
    <t>ELIEZER RAMIREZ MEDINA</t>
  </si>
  <si>
    <t>JACKIRI ALEXANDRA CARRION RAMOS</t>
  </si>
  <si>
    <t>NARDIN GERALDO HEREDIA</t>
  </si>
  <si>
    <t>COORDINADOR (A)</t>
  </si>
  <si>
    <t>MARIA ISABEL JIMENEZ CASTRO</t>
  </si>
  <si>
    <t>OFICIAL ACADEMICO</t>
  </si>
  <si>
    <t>División de Admisión e Información</t>
  </si>
  <si>
    <t>ISAAC ESPINOSA GUZMAN</t>
  </si>
  <si>
    <t>JENCY IVERSON CARABALLO GUZMAN</t>
  </si>
  <si>
    <t>ENC. INTERINO DIVISION DE ADMISION E INFORMACION</t>
  </si>
  <si>
    <t>ELIZABETH ANJINETH TRONCOSO FIGUEROA</t>
  </si>
  <si>
    <t>ENC. INTERINO DIVISION DE COORDINACION Y PROFESIONALIZACION</t>
  </si>
  <si>
    <t>MIRIAM CAMBERO MARTE</t>
  </si>
  <si>
    <t>ENC. DIVISION ADMISION Y REGISTRO ACADEMICO</t>
  </si>
  <si>
    <t>División de Coordinación de Profesionalización</t>
  </si>
  <si>
    <t xml:space="preserve"> </t>
  </si>
  <si>
    <t xml:space="preserve">                                                    SRA. IVIS N. MONTERO MATOS</t>
  </si>
  <si>
    <t xml:space="preserve">                                   CONTADORA</t>
  </si>
  <si>
    <t>TOTAL INGRESOS</t>
  </si>
  <si>
    <t>OTRO DESC</t>
  </si>
  <si>
    <t>TOTAL DESC</t>
  </si>
  <si>
    <t>TOTAL NETO</t>
  </si>
  <si>
    <t>SUPLENCIA</t>
  </si>
  <si>
    <t>TOTALES GENERAL</t>
  </si>
  <si>
    <t>Sub total</t>
  </si>
  <si>
    <t>Total General</t>
  </si>
  <si>
    <t>ELSA YSABEL PIMENTEL DEL VILLAR</t>
  </si>
  <si>
    <t>91</t>
  </si>
  <si>
    <t>92</t>
  </si>
  <si>
    <t>93</t>
  </si>
  <si>
    <t>94</t>
  </si>
  <si>
    <t>95</t>
  </si>
  <si>
    <t>96</t>
  </si>
  <si>
    <t>97</t>
  </si>
  <si>
    <t>98</t>
  </si>
  <si>
    <t>44</t>
  </si>
  <si>
    <t>89</t>
  </si>
  <si>
    <t>90</t>
  </si>
  <si>
    <t>88</t>
  </si>
  <si>
    <t xml:space="preserve">FIJO </t>
  </si>
  <si>
    <t>INTERINATO</t>
  </si>
  <si>
    <t>INSTITUTO NACIONAL DE ADMINISTRACIÓN PÚBLICA 
(INAP)
NÓMINA DE PERSONAL FIJO CORRESPONDIENTES AL MES DE MARZO 2026</t>
  </si>
  <si>
    <t>SECRETARIA DIRECTOR GENERAL</t>
  </si>
  <si>
    <t>ENC. SECCION DE COMPRAS Y CONTRATACIONES</t>
  </si>
  <si>
    <t>INSTITUTO NACIONAL DE ADMINISTRACIÓN PÚBLICA 
(INAP)
NÓMINA  DE PERSONAL DE PERÍODO PROBATORIO INGRESO A CARRERA CORRESPONDIENTE AL MES DE MARZO 2026</t>
  </si>
  <si>
    <t xml:space="preserve">Cuenta: 2.1.1.2.05 </t>
  </si>
  <si>
    <t>Departamento Adminsitrativo y Financiero</t>
  </si>
  <si>
    <t>RHINA YOMIRA PEÑA BELLO</t>
  </si>
  <si>
    <t>ANALISTA DE COMPRAS Y CONTRATACIONES</t>
  </si>
  <si>
    <t>Período Probatorio Ingreso a Carrera</t>
  </si>
  <si>
    <t>Total General:</t>
  </si>
  <si>
    <t xml:space="preserve">                                            SRA. IVIS NEWILL MONTERO MATOS</t>
  </si>
  <si>
    <t xml:space="preserve">       CONTADORA</t>
  </si>
  <si>
    <t>INSTITUTO NACIONAL DE ADMINISTRACIÓN PÚBLICA 
(INAP)
NÓMINA DE PERSONAL CONTRATADO CON CARÁCTER TEMPORAL, CORRESPONDIENTES AL MES DE MARZO 2026</t>
  </si>
  <si>
    <t>Capitulo: 221</t>
  </si>
  <si>
    <t>Cuenta: 2.1.1.2.0.8</t>
  </si>
  <si>
    <t>DEPARTAMENTO DE COMUNICACIONES</t>
  </si>
  <si>
    <t>Nombramiento Temporal</t>
  </si>
  <si>
    <t>ARMANDO JOSE RABASSA ROSARIO</t>
  </si>
  <si>
    <t>DISEÑADOR GRAFICO</t>
  </si>
  <si>
    <t>SERVIDOR PÚBLICO CONTRATADO</t>
  </si>
  <si>
    <t>01/10/2025 -30/04/2026</t>
  </si>
  <si>
    <t>MELISSA DE LA ROSA RODRÍGUEZ</t>
  </si>
  <si>
    <t>ENC. DEL DEPARTAMENTO DE COMUNCIACIONES</t>
  </si>
  <si>
    <t xml:space="preserve">                           </t>
  </si>
  <si>
    <t>DEPARTAMENTO DE RECURSOS HUMANOS</t>
  </si>
  <si>
    <t>GLENNYS ARLENE DIAZ RAMRIEZ</t>
  </si>
  <si>
    <t>DEPARTAMENTO JURIDICO</t>
  </si>
  <si>
    <t>BIEMBO ARIEL DE OLEO DE OLEO</t>
  </si>
  <si>
    <t>01/01/2026 -30/06/2026</t>
  </si>
  <si>
    <t>DEPARTAMENTO DE PLANIFICACION Y DESARROLLO</t>
  </si>
  <si>
    <t>JOHANNY MERCEDES CUEVAS RAMOS</t>
  </si>
  <si>
    <t xml:space="preserve">ENCARGADO DEL DEPARTAMENTO DE PLANIFICACIÓN Y DESARROLLO       </t>
  </si>
  <si>
    <t>01/12/2025 -31/05/2026</t>
  </si>
  <si>
    <t>JUANA ELENA RODRIGUEZ VASQUEZ</t>
  </si>
  <si>
    <t>ANALISTA DE PROGRAMACION ACADEMICA</t>
  </si>
  <si>
    <t>MARIA ISABEL DE JESUS CRUZ DE REYES</t>
  </si>
  <si>
    <t>ANALISTA DE EQUIDAD DE GENERO</t>
  </si>
  <si>
    <t>01/03/2026 -30/09/2026</t>
  </si>
  <si>
    <t>DIVISIÓN DE CONTABILIDAD</t>
  </si>
  <si>
    <t>YILIAM DE LA ROSA MALDONADO</t>
  </si>
  <si>
    <t xml:space="preserve">TÉCNICO DE CONTABILIDAD         </t>
  </si>
  <si>
    <t>01/11/2026 - 30/05/2026</t>
  </si>
  <si>
    <t>SECCION DE ALMACEN</t>
  </si>
  <si>
    <t>HALINSON HIPOLITO DE LA CRUZ JIMENEZ</t>
  </si>
  <si>
    <t xml:space="preserve">ENCARGADO/A SECCION DE ALMACEN         </t>
  </si>
  <si>
    <t>SECCION DE COMPRAS Y CONTRATACIONES</t>
  </si>
  <si>
    <t>EUGENIO EMILIO MORETA PEREZ</t>
  </si>
  <si>
    <t>01/01/2026 - 30/06/2026</t>
  </si>
  <si>
    <t>EMILIO ANTONIO SEGURA PEÑA</t>
  </si>
  <si>
    <t>5,615.32</t>
  </si>
  <si>
    <t>INSTITUTO NACIONAL DE ADMINISTRACION PUBLICA</t>
  </si>
  <si>
    <t>ANGEL PASTOR DE JESUS MORENO GARCIA</t>
  </si>
  <si>
    <t>ENCARGADO DEL CENTRO DE DOCUMENTACION</t>
  </si>
  <si>
    <t>01/02/2026 - 31/08/2026</t>
  </si>
  <si>
    <t>ELVINALISA DEL CARMEN ALMONTE REODRIGUEZ</t>
  </si>
  <si>
    <t>ENCARGADO OFICINA REGIONAL NORTE</t>
  </si>
  <si>
    <t>LEONCIO JIMENEZ ORTIZ</t>
  </si>
  <si>
    <t>MARTIN APOLONIO SANCHEZ ARTILES</t>
  </si>
  <si>
    <t>ENCARGADO DE LA DIVISION ADMINISTRATIVA</t>
  </si>
  <si>
    <t>UE: 002</t>
  </si>
  <si>
    <t>DEPARTAMENTO DE INVESTIGACION E INNOVACION</t>
  </si>
  <si>
    <t>MABEL ARLETTE FERNANDEZ MATEO</t>
  </si>
  <si>
    <t xml:space="preserve">ENCARGADO (A) FORMULACION, MONITOREO Y EVALUACION PPP         </t>
  </si>
  <si>
    <t>CARMEN DAIANA GONZALEZ MOREL</t>
  </si>
  <si>
    <t>ANALISTA DE INVESTIGACION</t>
  </si>
  <si>
    <t>DEPARTAMENTO FORMACION DOCENTE</t>
  </si>
  <si>
    <t>DEANNYS MILAGROS GONZALEZ JIMENEZ</t>
  </si>
  <si>
    <t>DEPARTAMENTO TECNICO ACADEMICO</t>
  </si>
  <si>
    <t>ARLENE  IRENE BENCOSME REYES</t>
  </si>
  <si>
    <t>ANALISTA DE ACREDITACION Y CE</t>
  </si>
  <si>
    <t>MARIO ALBERTO CRUSSET NUÑEZ</t>
  </si>
  <si>
    <t>TANIA MARIA HERNANDEZ BEATO</t>
  </si>
  <si>
    <t xml:space="preserve">  </t>
  </si>
  <si>
    <t>DEPARTAMENTO DE RECURSOS FORMATIVOS DIGITALES</t>
  </si>
  <si>
    <t>JULIO CESAR CASTRO</t>
  </si>
  <si>
    <t>DIVISION DE EXTENSIONES</t>
  </si>
  <si>
    <t>EVELYN AMADOR CASTILLO</t>
  </si>
  <si>
    <t>COORDINADORA ACADEMICO</t>
  </si>
  <si>
    <t>JUAN DE LA ROSA BELLO CUEVAS</t>
  </si>
  <si>
    <t>FAUSTINA PÉREZ DE CASTILLO</t>
  </si>
  <si>
    <t>GISSEL MANZUETA NUÑEZ</t>
  </si>
  <si>
    <t>YANIRIS ALTAGRACIA ESPINAL JORGE</t>
  </si>
  <si>
    <t>DIVISIÓN DE COORDINACION DE EVENTOS FORMATIVOS</t>
  </si>
  <si>
    <t>PEDRO MICHEL FIGUEROA</t>
  </si>
  <si>
    <t>CLARIBEL ZABALA LA PAIX</t>
  </si>
  <si>
    <t>01/01/2026- 31/06/2026</t>
  </si>
  <si>
    <t>ROGELIA RUBIO CUEVAS</t>
  </si>
  <si>
    <t>01/01/2026 - 31/06/2026</t>
  </si>
  <si>
    <t>DIVISION DE ADMISION E INFORMACION</t>
  </si>
  <si>
    <t>ELSA ALEJANDRINA CARRASCO VARGAS</t>
  </si>
  <si>
    <t xml:space="preserve">ENCARGADO DEPARTAMENTO DE FORMACION DOCENTE         </t>
  </si>
  <si>
    <t>MIGUEL ESTALKIN SOTO FELIZ</t>
  </si>
  <si>
    <t>TECNICO DE ADMISION E INFORMACION</t>
  </si>
  <si>
    <t>01/12/2025 -30/04/2026</t>
  </si>
  <si>
    <t xml:space="preserve">                                          SRA. IVIS N. MONTERO MATOS</t>
  </si>
  <si>
    <t xml:space="preserve">                           CONTADORA</t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</si>
  <si>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DE VIGILANCIA, CORRESPONDIENTE AL MES DE MARZO 2026</t>
    </r>
  </si>
  <si>
    <t>Cuenta: 2.1.2.2.0.5</t>
  </si>
  <si>
    <t>Direccion General</t>
  </si>
  <si>
    <t>JAIRO RAFAEL RODRIGUEZ ORTIZ</t>
  </si>
  <si>
    <t>ASISTENTE DE SEGURIDAD</t>
  </si>
  <si>
    <t>PERSONAL DE VIGILANCIA</t>
  </si>
  <si>
    <t>MANUEL VIZCAINO VIZCAINO</t>
  </si>
  <si>
    <t>MIEMBRO DE SEGURIDAD</t>
  </si>
  <si>
    <t>YAIRENIS PAREDES CASTILLO</t>
  </si>
  <si>
    <t>RICHAL IVAN LUIS FELIZ</t>
  </si>
  <si>
    <t>OFICIAL VIGILANCIA RECEPCION</t>
  </si>
  <si>
    <t>WANYI SANCHEZ NUÑEZ</t>
  </si>
  <si>
    <t>SEGURIDAD</t>
  </si>
  <si>
    <t>0.00</t>
  </si>
  <si>
    <t xml:space="preserve">                                            SRA. IVIS N. MONTERO MATOS</t>
  </si>
  <si>
    <t xml:space="preserve">                         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</si>
</sst>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Segoe UI"/>
      <family val="2"/>
    </font>
    <font>
      <sz val="12"/>
      <color indexed="8"/>
      <name val="Segoe UI "/>
    </font>
    <font>
      <b/>
      <sz val="12"/>
      <color indexed="8"/>
      <name val="Segoe UI 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2"/>
      <color theme="1"/>
      <name val="Segoe UI "/>
    </font>
    <font>
      <b/>
      <sz val="16"/>
      <color theme="1"/>
      <name val="Segoe UI"/>
      <family val="2"/>
    </font>
    <font>
      <b/>
      <sz val="14"/>
      <color theme="1"/>
      <name val="Times New Roman"/>
      <family val="1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2"/>
      <color rgb="FF00000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  <font>
      <b/>
      <sz val="20"/>
      <color theme="1"/>
      <name val="Segoe UI"/>
      <family val="2"/>
    </font>
    <font>
      <sz val="12"/>
      <color indexed="8"/>
      <name val="Segoe UI"/>
      <family val="2"/>
    </font>
    <font>
      <sz val="12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indexed="8"/>
      <name val="Segoe UI"/>
      <family val="2"/>
    </font>
    <font>
      <b/>
      <sz val="20"/>
      <color theme="1"/>
      <name val="Segoe UI "/>
    </font>
    <font>
      <b/>
      <sz val="14"/>
      <color theme="1"/>
      <name val="Segoe UI "/>
    </font>
    <font>
      <sz val="12"/>
      <name val="Segoe UI "/>
    </font>
    <font>
      <b/>
      <sz val="12"/>
      <name val="Segoe UI "/>
    </font>
    <font>
      <b/>
      <sz val="14"/>
      <name val="Segoe UI "/>
    </font>
    <font>
      <b/>
      <sz val="20"/>
      <name val="Segoe UI "/>
    </font>
    <font>
      <sz val="12"/>
      <name val="Segoe UI"/>
      <family val="2"/>
    </font>
    <font>
      <b/>
      <sz val="12"/>
      <name val="Segoe UI"/>
      <family val="2"/>
    </font>
    <font>
      <b/>
      <sz val="14"/>
      <name val="Segoe UI"/>
      <family val="2"/>
    </font>
    <font>
      <b/>
      <sz val="20"/>
      <name val="Segoe U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4">
    <xf numFmtId="0" fontId="0" fillId="0" borderId="0" xfId="0"/>
    <xf numFmtId="43" fontId="5" fillId="0" borderId="0" xfId="1" applyFont="1" applyFill="1" applyBorder="1" applyAlignment="1">
      <alignment horizontal="center" vertical="center" wrapText="1"/>
    </xf>
    <xf numFmtId="43" fontId="0" fillId="0" borderId="0" xfId="1" applyFont="1" applyFill="1"/>
    <xf numFmtId="43" fontId="13" fillId="0" borderId="0" xfId="1" applyFont="1" applyFill="1" applyBorder="1" applyAlignment="1">
      <alignment vertical="center" wrapText="1"/>
    </xf>
    <xf numFmtId="43" fontId="15" fillId="0" borderId="0" xfId="1" applyFont="1" applyFill="1" applyBorder="1" applyAlignment="1">
      <alignment horizontal="center" vertical="center" wrapText="1"/>
    </xf>
    <xf numFmtId="43" fontId="15" fillId="0" borderId="0" xfId="1" applyFont="1" applyFill="1" applyBorder="1" applyAlignment="1">
      <alignment vertical="center" wrapText="1"/>
    </xf>
    <xf numFmtId="43" fontId="15" fillId="0" borderId="0" xfId="1" applyFont="1" applyFill="1" applyBorder="1" applyAlignment="1">
      <alignment horizontal="center" vertical="center"/>
    </xf>
    <xf numFmtId="43" fontId="15" fillId="0" borderId="0" xfId="1" applyFont="1" applyFill="1" applyBorder="1" applyAlignment="1">
      <alignment horizontal="left" vertical="center" wrapText="1"/>
    </xf>
    <xf numFmtId="43" fontId="13" fillId="0" borderId="0" xfId="1" applyFont="1" applyFill="1" applyBorder="1" applyAlignment="1">
      <alignment horizontal="right" vertical="center" wrapText="1"/>
    </xf>
    <xf numFmtId="43" fontId="15" fillId="0" borderId="0" xfId="1" applyFont="1" applyFill="1" applyBorder="1" applyAlignment="1">
      <alignment horizontal="right" vertical="center" wrapText="1"/>
    </xf>
    <xf numFmtId="2" fontId="13" fillId="0" borderId="0" xfId="1" applyNumberFormat="1" applyFont="1" applyFill="1" applyBorder="1" applyAlignment="1">
      <alignment vertical="center" wrapText="1"/>
    </xf>
    <xf numFmtId="43" fontId="15" fillId="0" borderId="6" xfId="1" applyFont="1" applyFill="1" applyBorder="1" applyAlignment="1">
      <alignment horizontal="center" vertical="center" wrapText="1"/>
    </xf>
    <xf numFmtId="2" fontId="15" fillId="0" borderId="6" xfId="1" applyNumberFormat="1" applyFont="1" applyFill="1" applyBorder="1" applyAlignment="1">
      <alignment horizontal="center" vertical="center" wrapText="1"/>
    </xf>
    <xf numFmtId="43" fontId="15" fillId="0" borderId="9" xfId="1" applyFont="1" applyFill="1" applyBorder="1" applyAlignment="1">
      <alignment vertical="center" wrapText="1"/>
    </xf>
    <xf numFmtId="43" fontId="15" fillId="0" borderId="9" xfId="1" applyFont="1" applyFill="1" applyBorder="1" applyAlignment="1">
      <alignment horizontal="right" vertical="center" wrapText="1"/>
    </xf>
    <xf numFmtId="43" fontId="15" fillId="0" borderId="10" xfId="1" applyFont="1" applyFill="1" applyBorder="1" applyAlignment="1">
      <alignment vertical="center" wrapText="1"/>
    </xf>
    <xf numFmtId="43" fontId="15" fillId="0" borderId="10" xfId="1" applyFont="1" applyFill="1" applyBorder="1" applyAlignment="1">
      <alignment horizontal="right" vertical="center" wrapText="1"/>
    </xf>
    <xf numFmtId="43" fontId="24" fillId="0" borderId="0" xfId="1" applyFont="1" applyFill="1" applyAlignment="1">
      <alignment horizontal="right" vertical="center"/>
    </xf>
    <xf numFmtId="43" fontId="15" fillId="0" borderId="0" xfId="1" applyFont="1" applyFill="1" applyAlignment="1">
      <alignment horizontal="right" vertical="center"/>
    </xf>
    <xf numFmtId="43" fontId="15" fillId="0" borderId="0" xfId="1" applyFont="1" applyFill="1" applyAlignment="1">
      <alignment vertical="center" wrapText="1"/>
    </xf>
    <xf numFmtId="43" fontId="15" fillId="0" borderId="9" xfId="1" applyFont="1" applyFill="1" applyBorder="1" applyAlignment="1">
      <alignment horizontal="right" vertical="center"/>
    </xf>
    <xf numFmtId="43" fontId="13" fillId="0" borderId="0" xfId="1" applyFont="1" applyFill="1" applyBorder="1" applyAlignment="1">
      <alignment horizontal="center" vertical="center" wrapText="1"/>
    </xf>
    <xf numFmtId="4" fontId="27" fillId="0" borderId="6" xfId="0" applyNumberFormat="1" applyFont="1" applyBorder="1" applyAlignment="1">
      <alignment horizontal="left"/>
    </xf>
    <xf numFmtId="4" fontId="10" fillId="0" borderId="6" xfId="0" applyNumberFormat="1" applyFont="1" applyBorder="1" applyAlignment="1">
      <alignment horizontal="left" vertical="center"/>
    </xf>
    <xf numFmtId="4" fontId="25" fillId="0" borderId="6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4" fontId="24" fillId="0" borderId="0" xfId="0" applyNumberFormat="1" applyFont="1" applyAlignment="1">
      <alignment horizontal="right" vertical="center"/>
    </xf>
    <xf numFmtId="44" fontId="10" fillId="0" borderId="6" xfId="0" applyNumberFormat="1" applyFont="1" applyBorder="1" applyAlignment="1">
      <alignment horizontal="center" vertical="center"/>
    </xf>
    <xf numFmtId="44" fontId="10" fillId="0" borderId="6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5" fillId="0" borderId="9" xfId="0" applyNumberFormat="1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9" fillId="0" borderId="0" xfId="0" applyFont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/>
    <xf numFmtId="4" fontId="16" fillId="0" borderId="6" xfId="0" applyNumberFormat="1" applyFont="1" applyBorder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 wrapText="1"/>
    </xf>
    <xf numFmtId="4" fontId="14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43" fontId="15" fillId="0" borderId="0" xfId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4" fontId="24" fillId="0" borderId="0" xfId="0" applyNumberFormat="1" applyFont="1" applyAlignment="1">
      <alignment vertical="center"/>
    </xf>
    <xf numFmtId="43" fontId="14" fillId="0" borderId="0" xfId="1" applyFont="1" applyFill="1" applyBorder="1" applyAlignment="1">
      <alignment vertical="center" wrapText="1"/>
    </xf>
    <xf numFmtId="43" fontId="12" fillId="0" borderId="0" xfId="1" applyFont="1" applyFill="1"/>
    <xf numFmtId="43" fontId="12" fillId="0" borderId="0" xfId="1" applyFont="1" applyFill="1" applyAlignment="1">
      <alignment horizontal="right"/>
    </xf>
    <xf numFmtId="43" fontId="12" fillId="0" borderId="0" xfId="1" applyFont="1" applyFill="1" applyBorder="1" applyAlignment="1">
      <alignment horizontal="right" vertical="center" wrapText="1"/>
    </xf>
    <xf numFmtId="43" fontId="19" fillId="0" borderId="0" xfId="1" applyFont="1" applyFill="1" applyBorder="1" applyAlignment="1">
      <alignment horizontal="right" vertical="center" wrapText="1"/>
    </xf>
    <xf numFmtId="43" fontId="19" fillId="0" borderId="0" xfId="1" applyFont="1" applyFill="1" applyBorder="1" applyAlignment="1">
      <alignment horizontal="right" vertical="center"/>
    </xf>
    <xf numFmtId="43" fontId="13" fillId="0" borderId="0" xfId="1" applyFont="1" applyFill="1" applyBorder="1" applyAlignment="1">
      <alignment horizontal="left" vertical="center" wrapText="1"/>
    </xf>
    <xf numFmtId="43" fontId="13" fillId="0" borderId="0" xfId="1" applyFont="1" applyFill="1" applyAlignment="1">
      <alignment horizontal="right" vertical="center"/>
    </xf>
    <xf numFmtId="4" fontId="16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18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4" fontId="11" fillId="2" borderId="0" xfId="0" applyNumberFormat="1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3" fontId="29" fillId="0" borderId="0" xfId="1" applyFont="1" applyFill="1" applyBorder="1" applyAlignment="1">
      <alignment horizontal="right" vertical="center" wrapText="1"/>
    </xf>
    <xf numFmtId="43" fontId="29" fillId="0" borderId="15" xfId="1" applyFont="1" applyFill="1" applyBorder="1" applyAlignment="1">
      <alignment horizontal="right" vertical="center" wrapText="1"/>
    </xf>
    <xf numFmtId="0" fontId="31" fillId="0" borderId="0" xfId="0" applyFont="1"/>
    <xf numFmtId="0" fontId="32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43" fontId="32" fillId="0" borderId="9" xfId="1" applyFont="1" applyFill="1" applyBorder="1" applyAlignment="1">
      <alignment horizontal="right" vertical="center" wrapText="1"/>
    </xf>
    <xf numFmtId="43" fontId="32" fillId="0" borderId="0" xfId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/>
    </xf>
    <xf numFmtId="43" fontId="32" fillId="0" borderId="21" xfId="1" applyFont="1" applyFill="1" applyBorder="1" applyAlignment="1">
      <alignment horizontal="right" vertical="center" wrapText="1"/>
    </xf>
    <xf numFmtId="0" fontId="32" fillId="0" borderId="22" xfId="0" applyFont="1" applyBorder="1" applyAlignment="1">
      <alignment horizontal="center" vertical="center" wrapText="1"/>
    </xf>
    <xf numFmtId="0" fontId="29" fillId="0" borderId="9" xfId="0" applyFont="1" applyBorder="1" applyAlignment="1">
      <alignment wrapText="1"/>
    </xf>
    <xf numFmtId="0" fontId="29" fillId="0" borderId="9" xfId="0" applyFont="1" applyBorder="1" applyAlignment="1">
      <alignment horizontal="center" vertical="center" wrapText="1"/>
    </xf>
    <xf numFmtId="43" fontId="32" fillId="0" borderId="23" xfId="1" applyFont="1" applyFill="1" applyBorder="1" applyAlignment="1">
      <alignment horizontal="right" vertical="center" wrapText="1"/>
    </xf>
    <xf numFmtId="43" fontId="32" fillId="0" borderId="24" xfId="1" applyFont="1" applyFill="1" applyBorder="1" applyAlignment="1">
      <alignment horizontal="right" vertical="center" wrapText="1"/>
    </xf>
    <xf numFmtId="0" fontId="32" fillId="0" borderId="0" xfId="0" applyFont="1" applyAlignment="1">
      <alignment horizontal="center" vertical="center" wrapText="1"/>
    </xf>
    <xf numFmtId="0" fontId="29" fillId="0" borderId="0" xfId="0" applyFont="1" applyAlignment="1">
      <alignment wrapText="1"/>
    </xf>
    <xf numFmtId="2" fontId="32" fillId="0" borderId="0" xfId="1" applyNumberFormat="1" applyFont="1" applyFill="1" applyBorder="1" applyAlignment="1">
      <alignment horizontal="right" vertical="center" wrapText="1"/>
    </xf>
    <xf numFmtId="43" fontId="32" fillId="0" borderId="0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3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43" fontId="35" fillId="0" borderId="0" xfId="1" applyFont="1" applyFill="1" applyBorder="1" applyAlignment="1">
      <alignment horizontal="right" vertical="center" wrapText="1"/>
    </xf>
    <xf numFmtId="4" fontId="35" fillId="0" borderId="0" xfId="0" applyNumberFormat="1" applyFont="1" applyAlignment="1">
      <alignment horizontal="right" vertical="center"/>
    </xf>
    <xf numFmtId="43" fontId="35" fillId="0" borderId="15" xfId="1" applyFont="1" applyFill="1" applyBorder="1" applyAlignment="1">
      <alignment horizontal="right" vertical="center" wrapText="1"/>
    </xf>
    <xf numFmtId="0" fontId="35" fillId="0" borderId="0" xfId="0" applyFont="1" applyAlignment="1">
      <alignment horizontal="left" vertical="center" wrapText="1"/>
    </xf>
    <xf numFmtId="4" fontId="35" fillId="0" borderId="9" xfId="0" applyNumberFormat="1" applyFont="1" applyBorder="1" applyAlignment="1">
      <alignment horizontal="right" vertical="center"/>
    </xf>
    <xf numFmtId="4" fontId="35" fillId="0" borderId="21" xfId="0" applyNumberFormat="1" applyFont="1" applyBorder="1" applyAlignment="1">
      <alignment horizontal="right" vertical="center"/>
    </xf>
    <xf numFmtId="43" fontId="36" fillId="0" borderId="22" xfId="1" applyFont="1" applyFill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43" fontId="36" fillId="0" borderId="9" xfId="1" applyFont="1" applyFill="1" applyBorder="1" applyAlignment="1">
      <alignment horizontal="right" vertical="center" wrapText="1"/>
    </xf>
    <xf numFmtId="4" fontId="36" fillId="0" borderId="9" xfId="0" applyNumberFormat="1" applyFont="1" applyBorder="1" applyAlignment="1">
      <alignment horizontal="right" vertical="center"/>
    </xf>
    <xf numFmtId="43" fontId="36" fillId="0" borderId="21" xfId="1" applyFont="1" applyFill="1" applyBorder="1" applyAlignment="1">
      <alignment horizontal="right" vertical="center" wrapText="1"/>
    </xf>
    <xf numFmtId="0" fontId="33" fillId="3" borderId="25" xfId="0" applyFont="1" applyFill="1" applyBorder="1" applyAlignment="1">
      <alignment horizontal="center" vertical="center"/>
    </xf>
    <xf numFmtId="0" fontId="33" fillId="3" borderId="17" xfId="0" applyFont="1" applyFill="1" applyBorder="1" applyAlignment="1">
      <alignment horizontal="center" vertical="center"/>
    </xf>
    <xf numFmtId="0" fontId="33" fillId="3" borderId="26" xfId="0" applyFont="1" applyFill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43" fontId="35" fillId="0" borderId="9" xfId="1" applyFont="1" applyFill="1" applyBorder="1" applyAlignment="1">
      <alignment horizontal="right" vertical="center" wrapText="1"/>
    </xf>
    <xf numFmtId="43" fontId="36" fillId="0" borderId="0" xfId="1" applyFont="1" applyFill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43" fontId="36" fillId="0" borderId="0" xfId="1" applyFont="1" applyFill="1" applyAlignment="1">
      <alignment horizontal="right" vertical="center" wrapText="1"/>
    </xf>
    <xf numFmtId="43" fontId="36" fillId="0" borderId="0" xfId="1" applyFont="1" applyFill="1" applyBorder="1" applyAlignment="1">
      <alignment horizontal="right" vertical="center" wrapText="1"/>
    </xf>
    <xf numFmtId="0" fontId="37" fillId="0" borderId="27" xfId="0" applyFont="1" applyBorder="1" applyAlignment="1">
      <alignment horizontal="center" vertical="center"/>
    </xf>
    <xf numFmtId="4" fontId="35" fillId="0" borderId="3" xfId="0" applyNumberFormat="1" applyFont="1" applyBorder="1" applyAlignment="1">
      <alignment horizontal="right" vertical="center"/>
    </xf>
    <xf numFmtId="0" fontId="38" fillId="3" borderId="28" xfId="0" applyFont="1" applyFill="1" applyBorder="1" applyAlignment="1">
      <alignment horizontal="center" vertical="center"/>
    </xf>
    <xf numFmtId="0" fontId="38" fillId="3" borderId="29" xfId="0" applyFont="1" applyFill="1" applyBorder="1" applyAlignment="1">
      <alignment horizontal="center" vertical="center"/>
    </xf>
    <xf numFmtId="0" fontId="38" fillId="3" borderId="30" xfId="0" applyFont="1" applyFill="1" applyBorder="1" applyAlignment="1">
      <alignment horizontal="center" vertical="center"/>
    </xf>
    <xf numFmtId="43" fontId="0" fillId="0" borderId="31" xfId="1" applyFont="1" applyFill="1" applyBorder="1"/>
    <xf numFmtId="0" fontId="38" fillId="3" borderId="1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4" fontId="35" fillId="0" borderId="31" xfId="0" applyNumberFormat="1" applyFont="1" applyBorder="1" applyAlignment="1">
      <alignment horizontal="right" vertical="center"/>
    </xf>
    <xf numFmtId="43" fontId="36" fillId="0" borderId="0" xfId="1" applyFont="1" applyFill="1" applyAlignment="1">
      <alignment horizontal="left" vertical="center"/>
    </xf>
    <xf numFmtId="43" fontId="36" fillId="0" borderId="0" xfId="1" applyFont="1" applyFill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4" fontId="39" fillId="0" borderId="0" xfId="0" applyNumberFormat="1" applyFont="1" applyAlignment="1">
      <alignment horizontal="right" vertical="center"/>
    </xf>
    <xf numFmtId="4" fontId="39" fillId="0" borderId="9" xfId="0" applyNumberFormat="1" applyFont="1" applyBorder="1" applyAlignment="1">
      <alignment horizontal="right" vertical="center"/>
    </xf>
    <xf numFmtId="49" fontId="36" fillId="0" borderId="0" xfId="1" applyNumberFormat="1" applyFont="1" applyFill="1" applyAlignment="1">
      <alignment horizontal="right" vertical="center" wrapText="1"/>
    </xf>
    <xf numFmtId="4" fontId="40" fillId="0" borderId="0" xfId="0" applyNumberFormat="1" applyFont="1" applyAlignment="1">
      <alignment horizontal="right" vertical="center"/>
    </xf>
    <xf numFmtId="14" fontId="39" fillId="0" borderId="0" xfId="0" applyNumberFormat="1" applyFont="1" applyAlignment="1">
      <alignment horizontal="center"/>
    </xf>
    <xf numFmtId="0" fontId="41" fillId="0" borderId="27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42" fillId="3" borderId="28" xfId="0" applyFont="1" applyFill="1" applyBorder="1" applyAlignment="1">
      <alignment horizontal="center" vertical="center"/>
    </xf>
    <xf numFmtId="0" fontId="42" fillId="3" borderId="29" xfId="0" applyFont="1" applyFill="1" applyBorder="1" applyAlignment="1">
      <alignment horizontal="center" vertical="center"/>
    </xf>
    <xf numFmtId="0" fontId="42" fillId="3" borderId="3" xfId="0" applyFont="1" applyFill="1" applyBorder="1" applyAlignment="1">
      <alignment horizontal="center" vertical="center"/>
    </xf>
    <xf numFmtId="0" fontId="42" fillId="3" borderId="4" xfId="0" applyFont="1" applyFill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/>
    </xf>
    <xf numFmtId="43" fontId="36" fillId="0" borderId="17" xfId="1" applyFont="1" applyFill="1" applyBorder="1" applyAlignment="1">
      <alignment horizontal="right" vertical="center" wrapText="1"/>
    </xf>
    <xf numFmtId="4" fontId="36" fillId="0" borderId="0" xfId="0" applyNumberFormat="1" applyFont="1" applyAlignment="1">
      <alignment horizontal="right" vertical="center"/>
    </xf>
    <xf numFmtId="0" fontId="39" fillId="0" borderId="0" xfId="0" applyFont="1" applyAlignment="1">
      <alignment horizontal="left" vertical="center"/>
    </xf>
    <xf numFmtId="43" fontId="39" fillId="0" borderId="0" xfId="1" applyFont="1" applyFill="1" applyBorder="1" applyAlignment="1">
      <alignment horizontal="right" vertical="center" wrapText="1"/>
    </xf>
    <xf numFmtId="43" fontId="39" fillId="0" borderId="0" xfId="1" applyFont="1" applyFill="1" applyBorder="1" applyAlignment="1">
      <alignment horizontal="right" vertical="center"/>
    </xf>
    <xf numFmtId="0" fontId="37" fillId="0" borderId="6" xfId="0" applyFont="1" applyBorder="1" applyAlignment="1">
      <alignment horizontal="center" vertical="center"/>
    </xf>
    <xf numFmtId="49" fontId="35" fillId="0" borderId="0" xfId="1" applyNumberFormat="1" applyFont="1" applyFill="1" applyAlignment="1">
      <alignment horizontal="center" vertical="center" wrapText="1"/>
    </xf>
    <xf numFmtId="43" fontId="35" fillId="0" borderId="0" xfId="1" applyFont="1" applyFill="1" applyAlignment="1">
      <alignment horizontal="left" vertical="center"/>
    </xf>
    <xf numFmtId="43" fontId="35" fillId="0" borderId="0" xfId="1" applyFont="1" applyFill="1" applyAlignment="1">
      <alignment horizontal="center" vertical="center"/>
    </xf>
    <xf numFmtId="13" fontId="35" fillId="0" borderId="0" xfId="1" applyNumberFormat="1" applyFont="1" applyFill="1" applyAlignment="1">
      <alignment horizontal="center" vertical="center"/>
    </xf>
    <xf numFmtId="0" fontId="43" fillId="0" borderId="0" xfId="0" applyFont="1"/>
    <xf numFmtId="0" fontId="43" fillId="0" borderId="0" xfId="0" applyFont="1" applyAlignment="1">
      <alignment horizontal="center"/>
    </xf>
    <xf numFmtId="4" fontId="36" fillId="0" borderId="34" xfId="0" applyNumberFormat="1" applyFont="1" applyBorder="1" applyAlignment="1">
      <alignment horizontal="right" vertical="center"/>
    </xf>
    <xf numFmtId="0" fontId="40" fillId="0" borderId="0" xfId="0" applyFont="1" applyAlignment="1">
      <alignment horizontal="center" vertical="center" wrapText="1"/>
    </xf>
    <xf numFmtId="4" fontId="40" fillId="0" borderId="10" xfId="0" applyNumberFormat="1" applyFont="1" applyBorder="1" applyAlignment="1">
      <alignment horizontal="right" vertical="center"/>
    </xf>
    <xf numFmtId="4" fontId="40" fillId="0" borderId="35" xfId="0" applyNumberFormat="1" applyFont="1" applyBorder="1" applyAlignment="1">
      <alignment horizontal="right" vertical="center"/>
    </xf>
    <xf numFmtId="4" fontId="40" fillId="0" borderId="0" xfId="0" applyNumberFormat="1" applyFont="1" applyAlignment="1">
      <alignment horizontal="center" vertical="center"/>
    </xf>
    <xf numFmtId="43" fontId="40" fillId="0" borderId="0" xfId="0" applyNumberFormat="1" applyFont="1" applyAlignment="1">
      <alignment horizontal="center" vertical="center"/>
    </xf>
    <xf numFmtId="0" fontId="28" fillId="2" borderId="36" xfId="0" applyFont="1" applyFill="1" applyBorder="1" applyAlignment="1">
      <alignment horizontal="center" vertical="center"/>
    </xf>
    <xf numFmtId="0" fontId="28" fillId="2" borderId="29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37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2" fontId="29" fillId="0" borderId="0" xfId="1" applyNumberFormat="1" applyFont="1" applyFill="1" applyBorder="1" applyAlignment="1">
      <alignment horizontal="right" vertical="center" wrapText="1"/>
    </xf>
    <xf numFmtId="2" fontId="32" fillId="0" borderId="23" xfId="1" applyNumberFormat="1" applyFont="1" applyFill="1" applyBorder="1" applyAlignment="1">
      <alignment horizontal="right" vertical="center" wrapText="1"/>
    </xf>
    <xf numFmtId="49" fontId="32" fillId="0" borderId="23" xfId="1" applyNumberFormat="1" applyFont="1" applyFill="1" applyBorder="1" applyAlignment="1">
      <alignment horizontal="right" vertical="center" wrapText="1"/>
    </xf>
    <xf numFmtId="43" fontId="32" fillId="0" borderId="23" xfId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267</xdr:row>
      <xdr:rowOff>1</xdr:rowOff>
    </xdr:from>
    <xdr:to>
      <xdr:col>6</xdr:col>
      <xdr:colOff>369868</xdr:colOff>
      <xdr:row>267</xdr:row>
      <xdr:rowOff>186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589ECE8-B850-4C0D-8D8F-18F90059B228}"/>
            </a:ext>
          </a:extLst>
        </xdr:cNvPr>
        <xdr:cNvCxnSpPr/>
      </xdr:nvCxnSpPr>
      <xdr:spPr>
        <a:xfrm flipV="1">
          <a:off x="9980252" y="26234572"/>
          <a:ext cx="3207545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267</xdr:row>
      <xdr:rowOff>0</xdr:rowOff>
    </xdr:from>
    <xdr:to>
      <xdr:col>1</xdr:col>
      <xdr:colOff>1428750</xdr:colOff>
      <xdr:row>267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C1948F6-4615-47B6-8895-8639DA9FABA9}"/>
            </a:ext>
          </a:extLst>
        </xdr:cNvPr>
        <xdr:cNvCxnSpPr/>
      </xdr:nvCxnSpPr>
      <xdr:spPr>
        <a:xfrm>
          <a:off x="0" y="27132643"/>
          <a:ext cx="28438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0</xdr:colOff>
      <xdr:row>90</xdr:row>
      <xdr:rowOff>0</xdr:rowOff>
    </xdr:from>
    <xdr:to>
      <xdr:col>14</xdr:col>
      <xdr:colOff>304800</xdr:colOff>
      <xdr:row>90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DD9216E4-45D5-7EED-1252-9432846AF6E6}"/>
            </a:ext>
          </a:extLst>
        </xdr:cNvPr>
        <xdr:cNvSpPr>
          <a:spLocks noChangeAspect="1" noChangeArrowheads="1"/>
        </xdr:cNvSpPr>
      </xdr:nvSpPr>
      <xdr:spPr bwMode="auto">
        <a:xfrm>
          <a:off x="22583775" y="148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163287</xdr:colOff>
      <xdr:row>0</xdr:row>
      <xdr:rowOff>13607</xdr:rowOff>
    </xdr:from>
    <xdr:to>
      <xdr:col>1</xdr:col>
      <xdr:colOff>534427</xdr:colOff>
      <xdr:row>4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39691B-77E9-33DF-6344-AAC4479A3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7" y="13607"/>
          <a:ext cx="1786283" cy="1156607"/>
        </a:xfrm>
        <a:prstGeom prst="rect">
          <a:avLst/>
        </a:prstGeom>
      </xdr:spPr>
    </xdr:pic>
    <xdr:clientData/>
  </xdr:twoCellAnchor>
  <xdr:twoCellAnchor>
    <xdr:from>
      <xdr:col>9</xdr:col>
      <xdr:colOff>1102179</xdr:colOff>
      <xdr:row>267</xdr:row>
      <xdr:rowOff>0</xdr:rowOff>
    </xdr:from>
    <xdr:to>
      <xdr:col>12</xdr:col>
      <xdr:colOff>105117</xdr:colOff>
      <xdr:row>267</xdr:row>
      <xdr:rowOff>185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35CEBF81-1694-44D8-BA73-27F56529E712}"/>
            </a:ext>
          </a:extLst>
        </xdr:cNvPr>
        <xdr:cNvCxnSpPr/>
      </xdr:nvCxnSpPr>
      <xdr:spPr>
        <a:xfrm flipV="1">
          <a:off x="18247179" y="26234571"/>
          <a:ext cx="3207545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199</xdr:row>
      <xdr:rowOff>0</xdr:rowOff>
    </xdr:from>
    <xdr:to>
      <xdr:col>1</xdr:col>
      <xdr:colOff>2136321</xdr:colOff>
      <xdr:row>199</xdr:row>
      <xdr:rowOff>13607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C9457074-322D-44ED-82B2-E2AF33252BA8}"/>
            </a:ext>
          </a:extLst>
        </xdr:cNvPr>
        <xdr:cNvCxnSpPr/>
      </xdr:nvCxnSpPr>
      <xdr:spPr>
        <a:xfrm>
          <a:off x="0" y="76304775"/>
          <a:ext cx="341267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199</xdr:row>
      <xdr:rowOff>0</xdr:rowOff>
    </xdr:from>
    <xdr:to>
      <xdr:col>11</xdr:col>
      <xdr:colOff>1055915</xdr:colOff>
      <xdr:row>199</xdr:row>
      <xdr:rowOff>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78775541-9619-40F3-826A-501B4C69DE8A}"/>
            </a:ext>
          </a:extLst>
        </xdr:cNvPr>
        <xdr:cNvCxnSpPr/>
      </xdr:nvCxnSpPr>
      <xdr:spPr>
        <a:xfrm>
          <a:off x="17445717" y="76304775"/>
          <a:ext cx="30411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199</xdr:row>
      <xdr:rowOff>0</xdr:rowOff>
    </xdr:from>
    <xdr:to>
      <xdr:col>5</xdr:col>
      <xdr:colOff>394607</xdr:colOff>
      <xdr:row>199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95DB900F-FC5C-4442-830A-CBA826F117B0}"/>
            </a:ext>
          </a:extLst>
        </xdr:cNvPr>
        <xdr:cNvCxnSpPr/>
      </xdr:nvCxnSpPr>
      <xdr:spPr>
        <a:xfrm>
          <a:off x="7417253" y="76304775"/>
          <a:ext cx="34834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1632857</xdr:colOff>
      <xdr:row>24</xdr:row>
      <xdr:rowOff>1</xdr:rowOff>
    </xdr:from>
    <xdr:to>
      <xdr:col>8</xdr:col>
      <xdr:colOff>369868</xdr:colOff>
      <xdr:row>24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61EF0EFD-2B43-4FAC-869A-8EC9FB250781}"/>
            </a:ext>
          </a:extLst>
        </xdr:cNvPr>
        <xdr:cNvCxnSpPr/>
      </xdr:nvCxnSpPr>
      <xdr:spPr>
        <a:xfrm flipV="1">
          <a:off x="8728982" y="8172451"/>
          <a:ext cx="250891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40821</xdr:colOff>
      <xdr:row>24</xdr:row>
      <xdr:rowOff>0</xdr:rowOff>
    </xdr:from>
    <xdr:to>
      <xdr:col>4</xdr:col>
      <xdr:colOff>0</xdr:colOff>
      <xdr:row>24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E250793-FBE9-4ABD-9388-7D956C59DED0}"/>
            </a:ext>
          </a:extLst>
        </xdr:cNvPr>
        <xdr:cNvCxnSpPr/>
      </xdr:nvCxnSpPr>
      <xdr:spPr>
        <a:xfrm>
          <a:off x="40821" y="8172450"/>
          <a:ext cx="4054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1102179</xdr:colOff>
      <xdr:row>24</xdr:row>
      <xdr:rowOff>0</xdr:rowOff>
    </xdr:from>
    <xdr:to>
      <xdr:col>14</xdr:col>
      <xdr:colOff>105117</xdr:colOff>
      <xdr:row>24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085D890-C4E0-4BE4-9B1F-58919DF2B268}"/>
            </a:ext>
          </a:extLst>
        </xdr:cNvPr>
        <xdr:cNvCxnSpPr/>
      </xdr:nvCxnSpPr>
      <xdr:spPr>
        <a:xfrm flipV="1">
          <a:off x="16237404" y="8172450"/>
          <a:ext cx="360351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95250</xdr:colOff>
      <xdr:row>7</xdr:row>
      <xdr:rowOff>81644</xdr:rowOff>
    </xdr:from>
    <xdr:to>
      <xdr:col>2</xdr:col>
      <xdr:colOff>1267469</xdr:colOff>
      <xdr:row>12</xdr:row>
      <xdr:rowOff>161926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0B72324-6B56-4435-9820-82CC4ECD8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1415144"/>
          <a:ext cx="1172219" cy="1032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97</xdr:row>
      <xdr:rowOff>1</xdr:rowOff>
    </xdr:from>
    <xdr:to>
      <xdr:col>6</xdr:col>
      <xdr:colOff>369868</xdr:colOff>
      <xdr:row>97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DC4C1D8-9079-4FE8-8F12-8900E485BEE2}"/>
            </a:ext>
          </a:extLst>
        </xdr:cNvPr>
        <xdr:cNvCxnSpPr/>
      </xdr:nvCxnSpPr>
      <xdr:spPr>
        <a:xfrm flipV="1">
          <a:off x="9977531" y="35985451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97</xdr:row>
      <xdr:rowOff>0</xdr:rowOff>
    </xdr:from>
    <xdr:to>
      <xdr:col>1</xdr:col>
      <xdr:colOff>1428750</xdr:colOff>
      <xdr:row>97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C3E6347-FFCB-4E8D-A9C1-9EC2737B0FF1}"/>
            </a:ext>
          </a:extLst>
        </xdr:cNvPr>
        <xdr:cNvCxnSpPr/>
      </xdr:nvCxnSpPr>
      <xdr:spPr>
        <a:xfrm>
          <a:off x="0" y="35985450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163288</xdr:colOff>
      <xdr:row>0</xdr:row>
      <xdr:rowOff>13607</xdr:rowOff>
    </xdr:from>
    <xdr:to>
      <xdr:col>1</xdr:col>
      <xdr:colOff>581026</xdr:colOff>
      <xdr:row>4</xdr:row>
      <xdr:rowOff>20912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93803A1-71F8-47FD-BD83-3A4F1AF83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8" y="13607"/>
          <a:ext cx="1179738" cy="769305"/>
        </a:xfrm>
        <a:prstGeom prst="rect">
          <a:avLst/>
        </a:prstGeom>
      </xdr:spPr>
    </xdr:pic>
    <xdr:clientData/>
  </xdr:twoCellAnchor>
  <xdr:twoCellAnchor>
    <xdr:from>
      <xdr:col>9</xdr:col>
      <xdr:colOff>1102179</xdr:colOff>
      <xdr:row>97</xdr:row>
      <xdr:rowOff>0</xdr:rowOff>
    </xdr:from>
    <xdr:to>
      <xdr:col>12</xdr:col>
      <xdr:colOff>105117</xdr:colOff>
      <xdr:row>97</xdr:row>
      <xdr:rowOff>185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4311593-8F42-488F-8F94-32748E4AAC83}"/>
            </a:ext>
          </a:extLst>
        </xdr:cNvPr>
        <xdr:cNvCxnSpPr/>
      </xdr:nvCxnSpPr>
      <xdr:spPr>
        <a:xfrm flipV="1">
          <a:off x="18218604" y="35985450"/>
          <a:ext cx="329871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1728107</xdr:colOff>
      <xdr:row>23</xdr:row>
      <xdr:rowOff>1</xdr:rowOff>
    </xdr:from>
    <xdr:to>
      <xdr:col>7</xdr:col>
      <xdr:colOff>369868</xdr:colOff>
      <xdr:row>23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40DB92B-3D6D-4BDF-92FA-ABCEE69B82BF}"/>
            </a:ext>
          </a:extLst>
        </xdr:cNvPr>
        <xdr:cNvCxnSpPr/>
      </xdr:nvCxnSpPr>
      <xdr:spPr>
        <a:xfrm flipV="1">
          <a:off x="8824232" y="8343901"/>
          <a:ext cx="241366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23</xdr:row>
      <xdr:rowOff>0</xdr:rowOff>
    </xdr:from>
    <xdr:to>
      <xdr:col>2</xdr:col>
      <xdr:colOff>1932214</xdr:colOff>
      <xdr:row>23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6517D1C-8D3D-4462-88EE-0E43D8D5F593}"/>
            </a:ext>
          </a:extLst>
        </xdr:cNvPr>
        <xdr:cNvCxnSpPr/>
      </xdr:nvCxnSpPr>
      <xdr:spPr>
        <a:xfrm>
          <a:off x="40821" y="8343900"/>
          <a:ext cx="31391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23</xdr:row>
      <xdr:rowOff>0</xdr:rowOff>
    </xdr:from>
    <xdr:to>
      <xdr:col>13</xdr:col>
      <xdr:colOff>105117</xdr:colOff>
      <xdr:row>23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3D058E0-BA1A-4C9D-8DA0-0921A9BB14C9}"/>
            </a:ext>
          </a:extLst>
        </xdr:cNvPr>
        <xdr:cNvCxnSpPr/>
      </xdr:nvCxnSpPr>
      <xdr:spPr>
        <a:xfrm flipV="1">
          <a:off x="16237404" y="8343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31297</xdr:colOff>
      <xdr:row>1</xdr:row>
      <xdr:rowOff>53068</xdr:rowOff>
    </xdr:from>
    <xdr:to>
      <xdr:col>2</xdr:col>
      <xdr:colOff>571501</xdr:colOff>
      <xdr:row>7</xdr:row>
      <xdr:rowOff>57373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DE71852-B2E7-4A8F-915A-88460EEC7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297" y="243568"/>
          <a:ext cx="1302204" cy="1147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0"/>
  <sheetViews>
    <sheetView topLeftCell="A122" zoomScale="68" zoomScaleNormal="68" workbookViewId="0">
      <selection activeCell="D207" sqref="D207"/>
    </sheetView>
  </sheetViews>
  <sheetFormatPr baseColWidth="10" defaultRowHeight="32.25" customHeight="1"/>
  <cols>
    <col min="1" max="1" width="21.28515625" customWidth="1"/>
    <col min="2" max="2" width="47.140625" customWidth="1"/>
    <col min="3" max="3" width="37.28515625" customWidth="1"/>
    <col min="4" max="4" width="22" style="66" customWidth="1"/>
    <col min="5" max="5" width="39" style="66" customWidth="1"/>
    <col min="6" max="7" width="26" customWidth="1"/>
    <col min="8" max="8" width="25.5703125" customWidth="1"/>
    <col min="9" max="9" width="24.28515625" customWidth="1"/>
    <col min="10" max="10" width="27" customWidth="1"/>
    <col min="11" max="11" width="23" customWidth="1"/>
    <col min="12" max="12" width="23.140625" customWidth="1"/>
    <col min="13" max="13" width="14.5703125" hidden="1" customWidth="1"/>
  </cols>
  <sheetData>
    <row r="1" spans="1:13" ht="19.5" customHeight="1">
      <c r="A1" s="100" t="s">
        <v>263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19.5" customHeight="1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5"/>
    </row>
    <row r="3" spans="1:13" ht="22.5" customHeight="1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 ht="16.5" customHeight="1">
      <c r="A4" s="103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5"/>
    </row>
    <row r="5" spans="1:13" ht="19.5" customHeight="1">
      <c r="A5" s="103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 ht="16.5" customHeight="1">
      <c r="A6" s="103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</row>
    <row r="7" spans="1:13" ht="32.25" customHeight="1">
      <c r="A7" s="26" t="s">
        <v>38</v>
      </c>
      <c r="B7" s="27" t="s">
        <v>26</v>
      </c>
      <c r="C7" s="27" t="s">
        <v>16</v>
      </c>
      <c r="D7" s="26" t="s">
        <v>17</v>
      </c>
      <c r="E7" s="26" t="s">
        <v>18</v>
      </c>
      <c r="F7" s="26" t="s">
        <v>27</v>
      </c>
      <c r="G7" s="26" t="s">
        <v>19</v>
      </c>
      <c r="H7" s="26" t="s">
        <v>10</v>
      </c>
      <c r="I7" s="26" t="s">
        <v>39</v>
      </c>
      <c r="J7" s="26" t="s">
        <v>20</v>
      </c>
      <c r="K7" s="26"/>
      <c r="L7" s="26"/>
      <c r="M7" s="25"/>
    </row>
    <row r="8" spans="1:13" ht="32.25" customHeight="1">
      <c r="A8" s="106" t="s">
        <v>40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25"/>
    </row>
    <row r="9" spans="1:13" ht="32.25" customHeight="1">
      <c r="A9" s="26" t="s">
        <v>0</v>
      </c>
      <c r="B9" s="27" t="s">
        <v>1</v>
      </c>
      <c r="C9" s="27" t="s">
        <v>2</v>
      </c>
      <c r="D9" s="26" t="s">
        <v>13</v>
      </c>
      <c r="E9" s="26" t="s">
        <v>3</v>
      </c>
      <c r="F9" s="26" t="s">
        <v>28</v>
      </c>
      <c r="G9" s="26" t="s">
        <v>4</v>
      </c>
      <c r="H9" s="26" t="s">
        <v>6</v>
      </c>
      <c r="I9" s="26" t="s">
        <v>5</v>
      </c>
      <c r="J9" s="26" t="s">
        <v>31</v>
      </c>
      <c r="K9" s="26" t="s">
        <v>30</v>
      </c>
      <c r="L9" s="26" t="s">
        <v>29</v>
      </c>
      <c r="M9" s="25"/>
    </row>
    <row r="10" spans="1:13" ht="32.25" customHeight="1">
      <c r="A10" s="28">
        <v>1</v>
      </c>
      <c r="B10" s="29" t="s">
        <v>41</v>
      </c>
      <c r="C10" s="29" t="s">
        <v>264</v>
      </c>
      <c r="D10" s="30" t="s">
        <v>15</v>
      </c>
      <c r="E10" s="30" t="s">
        <v>43</v>
      </c>
      <c r="F10" s="31">
        <v>70000</v>
      </c>
      <c r="G10" s="31">
        <v>2009</v>
      </c>
      <c r="H10" s="31">
        <v>5368.45</v>
      </c>
      <c r="I10" s="31">
        <v>2128</v>
      </c>
      <c r="J10" s="31">
        <v>125</v>
      </c>
      <c r="K10" s="31">
        <f t="shared" ref="K10:K20" si="0">G10+H10+I10+J10</f>
        <v>9630.4500000000007</v>
      </c>
      <c r="L10" s="31">
        <f t="shared" ref="L10:L20" si="1">F10-K10</f>
        <v>60369.55</v>
      </c>
      <c r="M10" s="25"/>
    </row>
    <row r="11" spans="1:13" ht="32.25" customHeight="1">
      <c r="A11" s="28">
        <v>2</v>
      </c>
      <c r="B11" s="29" t="s">
        <v>44</v>
      </c>
      <c r="C11" s="29" t="s">
        <v>7</v>
      </c>
      <c r="D11" s="30" t="s">
        <v>14</v>
      </c>
      <c r="E11" s="30" t="s">
        <v>45</v>
      </c>
      <c r="F11" s="31">
        <v>245000</v>
      </c>
      <c r="G11" s="31">
        <v>7031.5</v>
      </c>
      <c r="H11" s="31">
        <v>45830.17</v>
      </c>
      <c r="I11" s="31">
        <v>7059.79</v>
      </c>
      <c r="J11" s="31">
        <v>1944.78</v>
      </c>
      <c r="K11" s="31">
        <f t="shared" si="0"/>
        <v>61866.239999999998</v>
      </c>
      <c r="L11" s="31">
        <f t="shared" si="1"/>
        <v>183133.76</v>
      </c>
      <c r="M11" s="25"/>
    </row>
    <row r="12" spans="1:13" ht="32.25" customHeight="1">
      <c r="A12" s="28">
        <v>3</v>
      </c>
      <c r="B12" s="29" t="s">
        <v>46</v>
      </c>
      <c r="C12" s="29" t="s">
        <v>47</v>
      </c>
      <c r="D12" s="30" t="s">
        <v>15</v>
      </c>
      <c r="E12" s="30" t="s">
        <v>45</v>
      </c>
      <c r="F12" s="31">
        <v>180000</v>
      </c>
      <c r="G12" s="31">
        <v>5166</v>
      </c>
      <c r="H12" s="31">
        <v>30923.439999999999</v>
      </c>
      <c r="I12" s="31">
        <v>5472</v>
      </c>
      <c r="J12" s="31">
        <v>31924.53</v>
      </c>
      <c r="K12" s="31">
        <f t="shared" si="0"/>
        <v>73485.97</v>
      </c>
      <c r="L12" s="31">
        <f t="shared" si="1"/>
        <v>106514.03</v>
      </c>
      <c r="M12" s="25"/>
    </row>
    <row r="13" spans="1:13" ht="32.25" customHeight="1">
      <c r="A13" s="28">
        <v>4</v>
      </c>
      <c r="B13" s="29" t="s">
        <v>48</v>
      </c>
      <c r="C13" s="29" t="s">
        <v>49</v>
      </c>
      <c r="D13" s="30" t="s">
        <v>14</v>
      </c>
      <c r="E13" s="30" t="s">
        <v>45</v>
      </c>
      <c r="F13" s="31">
        <v>180000</v>
      </c>
      <c r="G13" s="31">
        <v>5166</v>
      </c>
      <c r="H13" s="31">
        <v>30443.49</v>
      </c>
      <c r="I13" s="31">
        <v>5472</v>
      </c>
      <c r="J13" s="31">
        <v>21556.43</v>
      </c>
      <c r="K13" s="31">
        <f t="shared" si="0"/>
        <v>62637.920000000006</v>
      </c>
      <c r="L13" s="31">
        <f t="shared" si="1"/>
        <v>117362.07999999999</v>
      </c>
      <c r="M13" s="25"/>
    </row>
    <row r="14" spans="1:13" ht="32.25" customHeight="1">
      <c r="A14" s="28">
        <v>5</v>
      </c>
      <c r="B14" s="29" t="s">
        <v>50</v>
      </c>
      <c r="C14" s="29" t="s">
        <v>51</v>
      </c>
      <c r="D14" s="30" t="s">
        <v>14</v>
      </c>
      <c r="E14" s="30" t="s">
        <v>52</v>
      </c>
      <c r="F14" s="31">
        <v>150000</v>
      </c>
      <c r="G14" s="31">
        <v>4305</v>
      </c>
      <c r="H14" s="31">
        <v>23386.74</v>
      </c>
      <c r="I14" s="31">
        <v>4560</v>
      </c>
      <c r="J14" s="31">
        <v>1944.78</v>
      </c>
      <c r="K14" s="31">
        <f t="shared" si="0"/>
        <v>34196.520000000004</v>
      </c>
      <c r="L14" s="31">
        <f t="shared" si="1"/>
        <v>115803.48</v>
      </c>
      <c r="M14" s="25"/>
    </row>
    <row r="15" spans="1:13" ht="32.25" customHeight="1">
      <c r="A15" s="28">
        <v>6</v>
      </c>
      <c r="B15" s="29" t="s">
        <v>53</v>
      </c>
      <c r="C15" s="29" t="s">
        <v>47</v>
      </c>
      <c r="D15" s="30" t="s">
        <v>15</v>
      </c>
      <c r="E15" s="30" t="s">
        <v>45</v>
      </c>
      <c r="F15" s="32">
        <v>180000</v>
      </c>
      <c r="G15" s="31">
        <v>5166</v>
      </c>
      <c r="H15" s="31">
        <v>30923.439999999999</v>
      </c>
      <c r="I15" s="31">
        <v>5472</v>
      </c>
      <c r="J15" s="32">
        <v>11415.15</v>
      </c>
      <c r="K15" s="32">
        <f t="shared" si="0"/>
        <v>52976.590000000004</v>
      </c>
      <c r="L15" s="32">
        <f t="shared" si="1"/>
        <v>127023.41</v>
      </c>
      <c r="M15" s="25"/>
    </row>
    <row r="16" spans="1:13" ht="32.25" customHeight="1">
      <c r="A16" s="28">
        <v>7</v>
      </c>
      <c r="B16" s="29" t="s">
        <v>54</v>
      </c>
      <c r="C16" s="29" t="s">
        <v>55</v>
      </c>
      <c r="D16" s="30" t="s">
        <v>15</v>
      </c>
      <c r="E16" s="33" t="s">
        <v>56</v>
      </c>
      <c r="F16" s="31">
        <v>70000</v>
      </c>
      <c r="G16" s="31">
        <v>2009</v>
      </c>
      <c r="H16" s="31">
        <v>4984.49</v>
      </c>
      <c r="I16" s="31">
        <v>2128</v>
      </c>
      <c r="J16" s="31">
        <v>1944.78</v>
      </c>
      <c r="K16" s="31">
        <f t="shared" si="0"/>
        <v>11066.27</v>
      </c>
      <c r="L16" s="32">
        <f t="shared" si="1"/>
        <v>58933.729999999996</v>
      </c>
      <c r="M16" s="25"/>
    </row>
    <row r="17" spans="1:13" ht="32.25" customHeight="1">
      <c r="A17" s="28">
        <v>8</v>
      </c>
      <c r="B17" s="34" t="s">
        <v>57</v>
      </c>
      <c r="C17" s="29" t="s">
        <v>55</v>
      </c>
      <c r="D17" s="30" t="s">
        <v>15</v>
      </c>
      <c r="E17" s="33" t="s">
        <v>56</v>
      </c>
      <c r="F17" s="31">
        <v>80000</v>
      </c>
      <c r="G17" s="31">
        <v>2296</v>
      </c>
      <c r="H17" s="31">
        <v>7400.94</v>
      </c>
      <c r="I17" s="31">
        <v>2432</v>
      </c>
      <c r="J17" s="31">
        <v>25</v>
      </c>
      <c r="K17" s="31">
        <f t="shared" si="0"/>
        <v>12153.939999999999</v>
      </c>
      <c r="L17" s="31">
        <f t="shared" si="1"/>
        <v>67846.06</v>
      </c>
      <c r="M17" s="25"/>
    </row>
    <row r="18" spans="1:13" ht="32.25" customHeight="1">
      <c r="A18" s="28">
        <v>9</v>
      </c>
      <c r="B18" s="34" t="s">
        <v>58</v>
      </c>
      <c r="C18" s="34" t="s">
        <v>59</v>
      </c>
      <c r="D18" s="30" t="s">
        <v>14</v>
      </c>
      <c r="E18" s="33" t="s">
        <v>56</v>
      </c>
      <c r="F18" s="31">
        <v>40000</v>
      </c>
      <c r="G18" s="31">
        <v>1148</v>
      </c>
      <c r="H18" s="31">
        <v>442.65</v>
      </c>
      <c r="I18" s="31">
        <v>1216</v>
      </c>
      <c r="J18" s="31">
        <v>225</v>
      </c>
      <c r="K18" s="31">
        <f t="shared" si="0"/>
        <v>3031.65</v>
      </c>
      <c r="L18" s="31">
        <f t="shared" si="1"/>
        <v>36968.35</v>
      </c>
      <c r="M18" s="25"/>
    </row>
    <row r="19" spans="1:13" ht="32.25" customHeight="1">
      <c r="A19" s="28">
        <v>10</v>
      </c>
      <c r="B19" s="34" t="s">
        <v>60</v>
      </c>
      <c r="C19" s="34" t="s">
        <v>42</v>
      </c>
      <c r="D19" s="30" t="s">
        <v>15</v>
      </c>
      <c r="E19" s="33" t="s">
        <v>52</v>
      </c>
      <c r="F19" s="31">
        <v>80000</v>
      </c>
      <c r="G19" s="31">
        <v>2296</v>
      </c>
      <c r="H19" s="31">
        <v>7400.94</v>
      </c>
      <c r="I19" s="31">
        <v>2432</v>
      </c>
      <c r="J19" s="31">
        <v>3525</v>
      </c>
      <c r="K19" s="31">
        <f t="shared" si="0"/>
        <v>15653.939999999999</v>
      </c>
      <c r="L19" s="31">
        <f t="shared" si="1"/>
        <v>64346.06</v>
      </c>
      <c r="M19" s="25"/>
    </row>
    <row r="20" spans="1:13" ht="32.25" customHeight="1">
      <c r="A20" s="28">
        <v>11</v>
      </c>
      <c r="B20" s="35" t="s">
        <v>61</v>
      </c>
      <c r="C20" s="29" t="s">
        <v>62</v>
      </c>
      <c r="D20" s="30" t="s">
        <v>15</v>
      </c>
      <c r="E20" s="30" t="s">
        <v>56</v>
      </c>
      <c r="F20" s="32">
        <v>22000</v>
      </c>
      <c r="G20" s="32">
        <v>631.4</v>
      </c>
      <c r="H20" s="32">
        <v>0</v>
      </c>
      <c r="I20" s="32">
        <v>668.8</v>
      </c>
      <c r="J20" s="32">
        <v>4984.8</v>
      </c>
      <c r="K20" s="32">
        <f t="shared" si="0"/>
        <v>6285</v>
      </c>
      <c r="L20" s="3">
        <f t="shared" si="1"/>
        <v>15715</v>
      </c>
      <c r="M20" s="25"/>
    </row>
    <row r="21" spans="1:13" ht="32.25" customHeight="1">
      <c r="A21" s="4" t="s">
        <v>24</v>
      </c>
      <c r="B21" s="5"/>
      <c r="C21" s="5"/>
      <c r="D21" s="30"/>
      <c r="E21" s="4"/>
      <c r="F21" s="36">
        <f t="shared" ref="F21:L21" si="2">SUM(F10:F20)</f>
        <v>1297000</v>
      </c>
      <c r="G21" s="36">
        <f t="shared" si="2"/>
        <v>37223.9</v>
      </c>
      <c r="H21" s="36">
        <f t="shared" si="2"/>
        <v>187104.75</v>
      </c>
      <c r="I21" s="36">
        <f t="shared" si="2"/>
        <v>39040.590000000004</v>
      </c>
      <c r="J21" s="36">
        <f t="shared" si="2"/>
        <v>79615.25</v>
      </c>
      <c r="K21" s="36">
        <f t="shared" si="2"/>
        <v>342984.49000000011</v>
      </c>
      <c r="L21" s="36">
        <f t="shared" si="2"/>
        <v>954015.50999999978</v>
      </c>
      <c r="M21" s="25"/>
    </row>
    <row r="22" spans="1:13" ht="32.25" customHeight="1">
      <c r="A22" s="107" t="s">
        <v>63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25"/>
    </row>
    <row r="23" spans="1:13" ht="32.25" customHeight="1">
      <c r="A23" s="26" t="s">
        <v>0</v>
      </c>
      <c r="B23" s="27" t="s">
        <v>1</v>
      </c>
      <c r="C23" s="27" t="s">
        <v>2</v>
      </c>
      <c r="D23" s="26" t="s">
        <v>13</v>
      </c>
      <c r="E23" s="27" t="s">
        <v>3</v>
      </c>
      <c r="F23" s="26" t="s">
        <v>28</v>
      </c>
      <c r="G23" s="26" t="s">
        <v>4</v>
      </c>
      <c r="H23" s="26" t="s">
        <v>6</v>
      </c>
      <c r="I23" s="26" t="s">
        <v>5</v>
      </c>
      <c r="J23" s="26" t="s">
        <v>31</v>
      </c>
      <c r="K23" s="26" t="s">
        <v>30</v>
      </c>
      <c r="L23" s="26" t="s">
        <v>29</v>
      </c>
      <c r="M23" s="25"/>
    </row>
    <row r="24" spans="1:13" ht="32.25" customHeight="1">
      <c r="A24" s="28">
        <v>12</v>
      </c>
      <c r="B24" s="29" t="s">
        <v>64</v>
      </c>
      <c r="C24" s="29" t="s">
        <v>65</v>
      </c>
      <c r="D24" s="30" t="s">
        <v>15</v>
      </c>
      <c r="E24" s="30" t="s">
        <v>43</v>
      </c>
      <c r="F24" s="31">
        <f>49000+33500</f>
        <v>82500</v>
      </c>
      <c r="G24" s="31">
        <f>1406.3+961.45</f>
        <v>2367.75</v>
      </c>
      <c r="H24" s="31">
        <f>1712.86+6276.14</f>
        <v>7989</v>
      </c>
      <c r="I24" s="31">
        <f>1489.6+1018.4</f>
        <v>2508</v>
      </c>
      <c r="J24" s="91">
        <v>38346.550000000003</v>
      </c>
      <c r="K24" s="91">
        <f>G24+H24+I24+J24</f>
        <v>51211.3</v>
      </c>
      <c r="L24" s="92">
        <f>F24-K24</f>
        <v>31288.699999999997</v>
      </c>
      <c r="M24" s="25"/>
    </row>
    <row r="25" spans="1:13" ht="32.25" customHeight="1">
      <c r="A25" s="4" t="s">
        <v>24</v>
      </c>
      <c r="B25" s="75"/>
      <c r="C25" s="75"/>
      <c r="D25" s="76"/>
      <c r="E25" s="77"/>
      <c r="F25" s="36">
        <f>+F24</f>
        <v>82500</v>
      </c>
      <c r="G25" s="36">
        <f>SUM(G24)</f>
        <v>2367.75</v>
      </c>
      <c r="H25" s="36">
        <f>SUM(H24)</f>
        <v>7989</v>
      </c>
      <c r="I25" s="36">
        <f>SUM(I24)</f>
        <v>2508</v>
      </c>
      <c r="J25" s="92">
        <f>SUM(J24)</f>
        <v>38346.550000000003</v>
      </c>
      <c r="K25" s="92">
        <f>SUM(K24)</f>
        <v>51211.3</v>
      </c>
      <c r="L25" s="93">
        <f>F25-K25</f>
        <v>31288.699999999997</v>
      </c>
      <c r="M25" s="25"/>
    </row>
    <row r="26" spans="1:13" ht="32.25" customHeight="1">
      <c r="A26" s="99" t="s">
        <v>66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25"/>
    </row>
    <row r="27" spans="1:13" ht="32.25" customHeight="1">
      <c r="A27" s="26" t="s">
        <v>0</v>
      </c>
      <c r="B27" s="27" t="s">
        <v>1</v>
      </c>
      <c r="C27" s="27" t="s">
        <v>2</v>
      </c>
      <c r="D27" s="26" t="s">
        <v>13</v>
      </c>
      <c r="E27" s="27" t="s">
        <v>3</v>
      </c>
      <c r="F27" s="26" t="s">
        <v>28</v>
      </c>
      <c r="G27" s="26" t="s">
        <v>4</v>
      </c>
      <c r="H27" s="26" t="s">
        <v>6</v>
      </c>
      <c r="I27" s="26" t="s">
        <v>5</v>
      </c>
      <c r="J27" s="26" t="s">
        <v>31</v>
      </c>
      <c r="K27" s="26" t="s">
        <v>30</v>
      </c>
      <c r="L27" s="26" t="s">
        <v>29</v>
      </c>
      <c r="M27" s="25"/>
    </row>
    <row r="28" spans="1:13" ht="32.25" customHeight="1">
      <c r="A28" s="28">
        <v>13</v>
      </c>
      <c r="B28" s="29" t="s">
        <v>67</v>
      </c>
      <c r="C28" s="29" t="s">
        <v>68</v>
      </c>
      <c r="D28" s="37" t="s">
        <v>14</v>
      </c>
      <c r="E28" s="30" t="s">
        <v>43</v>
      </c>
      <c r="F28" s="32">
        <v>50000</v>
      </c>
      <c r="G28" s="32">
        <v>1435</v>
      </c>
      <c r="H28" s="32">
        <v>1854</v>
      </c>
      <c r="I28" s="32">
        <v>1520</v>
      </c>
      <c r="J28" s="32">
        <v>4470.26</v>
      </c>
      <c r="K28" s="32">
        <f>G28+H28+I28+J28</f>
        <v>9279.26</v>
      </c>
      <c r="L28" s="32">
        <f>F28-K28</f>
        <v>40720.74</v>
      </c>
      <c r="M28" s="25"/>
    </row>
    <row r="29" spans="1:13" ht="32.25" customHeight="1">
      <c r="A29" s="28">
        <v>14</v>
      </c>
      <c r="B29" s="29" t="s">
        <v>69</v>
      </c>
      <c r="C29" s="29" t="s">
        <v>70</v>
      </c>
      <c r="D29" s="30" t="s">
        <v>15</v>
      </c>
      <c r="E29" s="30" t="s">
        <v>43</v>
      </c>
      <c r="F29" s="31">
        <v>60000</v>
      </c>
      <c r="G29" s="31">
        <v>1722</v>
      </c>
      <c r="H29" s="31">
        <v>3486.65</v>
      </c>
      <c r="I29" s="32">
        <v>1824</v>
      </c>
      <c r="J29" s="31">
        <v>145</v>
      </c>
      <c r="K29" s="32">
        <f>G29+H29+I29+J29</f>
        <v>7177.65</v>
      </c>
      <c r="L29" s="31">
        <f>F29-K29</f>
        <v>52822.35</v>
      </c>
      <c r="M29" s="25"/>
    </row>
    <row r="30" spans="1:13" ht="32.25" customHeight="1">
      <c r="A30" s="28">
        <v>15</v>
      </c>
      <c r="B30" s="29" t="s">
        <v>71</v>
      </c>
      <c r="C30" s="29" t="s">
        <v>70</v>
      </c>
      <c r="D30" s="37" t="s">
        <v>15</v>
      </c>
      <c r="E30" s="30" t="s">
        <v>56</v>
      </c>
      <c r="F30" s="32">
        <v>100000</v>
      </c>
      <c r="G30" s="32">
        <v>2870</v>
      </c>
      <c r="H30" s="90">
        <v>3646.67</v>
      </c>
      <c r="I30" s="32">
        <v>3040</v>
      </c>
      <c r="J30" s="32">
        <v>4064.56</v>
      </c>
      <c r="K30" s="32">
        <f>G30+H30+I30+J30</f>
        <v>13621.23</v>
      </c>
      <c r="L30" s="32">
        <f>F30-K30</f>
        <v>86378.77</v>
      </c>
      <c r="M30" s="25"/>
    </row>
    <row r="31" spans="1:13" ht="32.25" customHeight="1">
      <c r="A31" s="28">
        <v>16</v>
      </c>
      <c r="B31" s="29" t="s">
        <v>72</v>
      </c>
      <c r="C31" s="29" t="s">
        <v>73</v>
      </c>
      <c r="D31" s="37" t="s">
        <v>15</v>
      </c>
      <c r="E31" s="30" t="s">
        <v>56</v>
      </c>
      <c r="F31" s="32">
        <v>45000</v>
      </c>
      <c r="G31" s="32">
        <v>1291.5</v>
      </c>
      <c r="H31" s="32">
        <v>1148.32</v>
      </c>
      <c r="I31" s="32">
        <v>1368</v>
      </c>
      <c r="J31" s="32">
        <v>25</v>
      </c>
      <c r="K31" s="32">
        <f>G31+H31+I31+J31</f>
        <v>3832.8199999999997</v>
      </c>
      <c r="L31" s="32">
        <f>F31-K31</f>
        <v>41167.18</v>
      </c>
      <c r="M31" s="25"/>
    </row>
    <row r="32" spans="1:13" ht="32.25" customHeight="1">
      <c r="A32" s="30">
        <v>17</v>
      </c>
      <c r="B32" s="29" t="s">
        <v>74</v>
      </c>
      <c r="C32" s="34" t="s">
        <v>75</v>
      </c>
      <c r="D32" s="37" t="s">
        <v>14</v>
      </c>
      <c r="E32" s="30" t="s">
        <v>56</v>
      </c>
      <c r="F32" s="74">
        <f>35000+20000</f>
        <v>55000</v>
      </c>
      <c r="G32" s="74">
        <f>574+1004.5</f>
        <v>1578.5</v>
      </c>
      <c r="H32" s="74">
        <v>2559.67</v>
      </c>
      <c r="I32" s="74">
        <f>608+1064</f>
        <v>1672</v>
      </c>
      <c r="J32" s="74">
        <f>725</f>
        <v>725</v>
      </c>
      <c r="K32" s="74">
        <f>G32+H32+I32+J32</f>
        <v>6535.17</v>
      </c>
      <c r="L32" s="74">
        <f>F32-K32</f>
        <v>48464.83</v>
      </c>
      <c r="M32" s="25"/>
    </row>
    <row r="33" spans="1:13" ht="32.25" customHeight="1">
      <c r="A33" s="4" t="s">
        <v>24</v>
      </c>
      <c r="B33" s="5"/>
      <c r="C33" s="5"/>
      <c r="D33" s="6"/>
      <c r="E33" s="4"/>
      <c r="F33" s="36">
        <f t="shared" ref="F33:L33" si="3">SUM(F28:F32)</f>
        <v>310000</v>
      </c>
      <c r="G33" s="36">
        <f t="shared" si="3"/>
        <v>8897</v>
      </c>
      <c r="H33" s="36">
        <f t="shared" si="3"/>
        <v>12695.31</v>
      </c>
      <c r="I33" s="36">
        <f t="shared" si="3"/>
        <v>9424</v>
      </c>
      <c r="J33" s="36">
        <f t="shared" si="3"/>
        <v>9429.82</v>
      </c>
      <c r="K33" s="36">
        <f>SUM(K28:K32)</f>
        <v>40446.129999999997</v>
      </c>
      <c r="L33" s="36">
        <f t="shared" si="3"/>
        <v>269553.87</v>
      </c>
      <c r="M33" s="25"/>
    </row>
    <row r="34" spans="1:13" ht="32.25" customHeight="1">
      <c r="A34" s="95" t="s">
        <v>76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25"/>
    </row>
    <row r="35" spans="1:13" ht="32.25" customHeight="1">
      <c r="A35" s="26" t="s">
        <v>0</v>
      </c>
      <c r="B35" s="27" t="s">
        <v>1</v>
      </c>
      <c r="C35" s="27" t="s">
        <v>2</v>
      </c>
      <c r="D35" s="26" t="s">
        <v>13</v>
      </c>
      <c r="E35" s="27" t="s">
        <v>3</v>
      </c>
      <c r="F35" s="26" t="s">
        <v>28</v>
      </c>
      <c r="G35" s="26" t="s">
        <v>4</v>
      </c>
      <c r="H35" s="26" t="s">
        <v>6</v>
      </c>
      <c r="I35" s="26" t="s">
        <v>5</v>
      </c>
      <c r="J35" s="26" t="s">
        <v>31</v>
      </c>
      <c r="K35" s="26" t="s">
        <v>30</v>
      </c>
      <c r="L35" s="26" t="s">
        <v>29</v>
      </c>
      <c r="M35" s="25"/>
    </row>
    <row r="36" spans="1:13" ht="32.25" customHeight="1">
      <c r="A36" s="28">
        <v>18</v>
      </c>
      <c r="B36" s="35" t="s">
        <v>77</v>
      </c>
      <c r="C36" s="29" t="s">
        <v>78</v>
      </c>
      <c r="D36" s="37" t="s">
        <v>15</v>
      </c>
      <c r="E36" s="30" t="s">
        <v>43</v>
      </c>
      <c r="F36" s="32">
        <v>122500</v>
      </c>
      <c r="G36" s="32">
        <v>3515.75</v>
      </c>
      <c r="H36" s="32">
        <v>16918.05</v>
      </c>
      <c r="I36" s="32">
        <v>3724</v>
      </c>
      <c r="J36" s="32">
        <v>13639.66</v>
      </c>
      <c r="K36" s="32">
        <f>G36+H36+I36+J36</f>
        <v>37797.46</v>
      </c>
      <c r="L36" s="32">
        <f>F36-K36</f>
        <v>84702.540000000008</v>
      </c>
      <c r="M36" s="25"/>
    </row>
    <row r="37" spans="1:13" ht="32.25" customHeight="1">
      <c r="A37" s="28">
        <v>19</v>
      </c>
      <c r="B37" s="29" t="s">
        <v>79</v>
      </c>
      <c r="C37" s="29" t="s">
        <v>37</v>
      </c>
      <c r="D37" s="37" t="s">
        <v>14</v>
      </c>
      <c r="E37" s="30" t="s">
        <v>43</v>
      </c>
      <c r="F37" s="32">
        <f>45000+15000</f>
        <v>60000</v>
      </c>
      <c r="G37" s="32">
        <f>1291.5+430.5</f>
        <v>1722</v>
      </c>
      <c r="H37" s="32">
        <f>2242.33+860.36</f>
        <v>3102.69</v>
      </c>
      <c r="I37" s="32">
        <f>1368+456</f>
        <v>1824</v>
      </c>
      <c r="J37" s="32">
        <v>3673.78</v>
      </c>
      <c r="K37" s="32">
        <f>G37+H37+I37+J37</f>
        <v>10322.470000000001</v>
      </c>
      <c r="L37" s="32">
        <f>F37-K37</f>
        <v>49677.53</v>
      </c>
      <c r="M37" s="25"/>
    </row>
    <row r="38" spans="1:13" ht="32.25" customHeight="1">
      <c r="A38" s="28">
        <v>20</v>
      </c>
      <c r="B38" s="29" t="s">
        <v>80</v>
      </c>
      <c r="C38" s="34" t="s">
        <v>81</v>
      </c>
      <c r="D38" s="37" t="s">
        <v>15</v>
      </c>
      <c r="E38" s="30" t="s">
        <v>56</v>
      </c>
      <c r="F38" s="32">
        <v>37000</v>
      </c>
      <c r="G38" s="32">
        <v>1061.9000000000001</v>
      </c>
      <c r="H38" s="32">
        <v>19.239999999999998</v>
      </c>
      <c r="I38" s="32">
        <v>1124.8</v>
      </c>
      <c r="J38" s="32">
        <v>7516.08</v>
      </c>
      <c r="K38" s="32">
        <f>G38+H38+I38+J38</f>
        <v>9722.02</v>
      </c>
      <c r="L38" s="32">
        <f>F38-K38</f>
        <v>27277.98</v>
      </c>
      <c r="M38" s="25"/>
    </row>
    <row r="39" spans="1:13" ht="32.25" customHeight="1">
      <c r="A39" s="4" t="s">
        <v>24</v>
      </c>
      <c r="B39" s="7"/>
      <c r="C39" s="7"/>
      <c r="D39" s="6"/>
      <c r="E39" s="4"/>
      <c r="F39" s="36">
        <f>SUM(F36:F38)</f>
        <v>219500</v>
      </c>
      <c r="G39" s="36">
        <f>+SUM(G36:G38)</f>
        <v>6299.65</v>
      </c>
      <c r="H39" s="36">
        <f>SUM(H36:H38)</f>
        <v>20039.98</v>
      </c>
      <c r="I39" s="36">
        <f>+SUM(I36:I38)</f>
        <v>6672.8</v>
      </c>
      <c r="J39" s="36">
        <f>SUM(J36:J38)</f>
        <v>24829.519999999997</v>
      </c>
      <c r="K39" s="36">
        <f>SUM(K36:K38)</f>
        <v>57841.95</v>
      </c>
      <c r="L39" s="36">
        <f>SUM(L36:L38)</f>
        <v>161658.05000000002</v>
      </c>
      <c r="M39" s="25"/>
    </row>
    <row r="40" spans="1:13" ht="32.25" customHeight="1">
      <c r="A40" s="4"/>
      <c r="B40" s="7"/>
      <c r="C40" s="7"/>
      <c r="D40" s="6"/>
      <c r="E40" s="4"/>
      <c r="F40" s="36"/>
      <c r="G40" s="36"/>
      <c r="H40" s="36"/>
      <c r="I40" s="36"/>
      <c r="J40" s="36"/>
      <c r="K40" s="36"/>
      <c r="L40" s="36"/>
      <c r="M40" s="25"/>
    </row>
    <row r="41" spans="1:13" ht="32.25" customHeight="1">
      <c r="A41" s="95" t="s">
        <v>82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25"/>
    </row>
    <row r="42" spans="1:13" ht="32.25" customHeight="1">
      <c r="A42" s="26" t="s">
        <v>0</v>
      </c>
      <c r="B42" s="27" t="s">
        <v>1</v>
      </c>
      <c r="C42" s="27" t="s">
        <v>2</v>
      </c>
      <c r="D42" s="26" t="s">
        <v>13</v>
      </c>
      <c r="E42" s="27" t="s">
        <v>3</v>
      </c>
      <c r="F42" s="26" t="s">
        <v>28</v>
      </c>
      <c r="G42" s="26" t="s">
        <v>4</v>
      </c>
      <c r="H42" s="26" t="s">
        <v>6</v>
      </c>
      <c r="I42" s="26" t="s">
        <v>5</v>
      </c>
      <c r="J42" s="26" t="s">
        <v>31</v>
      </c>
      <c r="K42" s="26" t="s">
        <v>30</v>
      </c>
      <c r="L42" s="26" t="s">
        <v>29</v>
      </c>
      <c r="M42" s="25"/>
    </row>
    <row r="43" spans="1:13" ht="32.25" customHeight="1">
      <c r="A43" s="37">
        <v>21</v>
      </c>
      <c r="B43" s="29" t="s">
        <v>83</v>
      </c>
      <c r="C43" s="29" t="s">
        <v>84</v>
      </c>
      <c r="D43" s="37" t="s">
        <v>15</v>
      </c>
      <c r="E43" s="30" t="s">
        <v>43</v>
      </c>
      <c r="F43" s="32">
        <v>100000</v>
      </c>
      <c r="G43" s="32">
        <v>2870</v>
      </c>
      <c r="H43" s="32">
        <v>12105.44</v>
      </c>
      <c r="I43" s="32">
        <v>3040</v>
      </c>
      <c r="J43" s="32">
        <v>28745.11</v>
      </c>
      <c r="K43" s="32">
        <f>G43+H43+I43+J43</f>
        <v>46760.55</v>
      </c>
      <c r="L43" s="32">
        <f t="shared" ref="L43:L49" si="4">F43-K43</f>
        <v>53239.45</v>
      </c>
      <c r="M43" s="25"/>
    </row>
    <row r="44" spans="1:13" ht="32.25" customHeight="1">
      <c r="A44" s="37">
        <v>22</v>
      </c>
      <c r="B44" s="29" t="s">
        <v>85</v>
      </c>
      <c r="C44" s="29" t="s">
        <v>86</v>
      </c>
      <c r="D44" s="37" t="s">
        <v>15</v>
      </c>
      <c r="E44" s="30" t="s">
        <v>87</v>
      </c>
      <c r="F44" s="32">
        <v>122500</v>
      </c>
      <c r="G44" s="32">
        <v>3515.75</v>
      </c>
      <c r="H44" s="32">
        <v>16438.11</v>
      </c>
      <c r="I44" s="32">
        <v>3724</v>
      </c>
      <c r="J44" s="32">
        <v>50257.75</v>
      </c>
      <c r="K44" s="32">
        <f t="shared" ref="K44:K49" si="5">G44+H44+I44+J44</f>
        <v>73935.61</v>
      </c>
      <c r="L44" s="32">
        <f t="shared" si="4"/>
        <v>48564.39</v>
      </c>
      <c r="M44" s="25"/>
    </row>
    <row r="45" spans="1:13" ht="32.25" customHeight="1">
      <c r="A45" s="37">
        <v>23</v>
      </c>
      <c r="B45" s="29" t="s">
        <v>88</v>
      </c>
      <c r="C45" s="29" t="s">
        <v>36</v>
      </c>
      <c r="D45" s="37" t="s">
        <v>15</v>
      </c>
      <c r="E45" s="30" t="s">
        <v>43</v>
      </c>
      <c r="F45" s="32">
        <v>70000</v>
      </c>
      <c r="G45" s="32">
        <v>2009</v>
      </c>
      <c r="H45" s="32">
        <v>4984.49</v>
      </c>
      <c r="I45" s="32">
        <v>2128</v>
      </c>
      <c r="J45" s="32">
        <v>2244.7800000000002</v>
      </c>
      <c r="K45" s="32">
        <f t="shared" si="5"/>
        <v>11366.27</v>
      </c>
      <c r="L45" s="32">
        <f t="shared" si="4"/>
        <v>58633.729999999996</v>
      </c>
      <c r="M45" s="25"/>
    </row>
    <row r="46" spans="1:13" ht="32.25" customHeight="1">
      <c r="A46" s="37">
        <v>24</v>
      </c>
      <c r="B46" s="34" t="s">
        <v>89</v>
      </c>
      <c r="C46" s="34" t="s">
        <v>36</v>
      </c>
      <c r="D46" s="37" t="s">
        <v>15</v>
      </c>
      <c r="E46" s="30" t="s">
        <v>56</v>
      </c>
      <c r="F46" s="8">
        <f>35000+20000</f>
        <v>55000</v>
      </c>
      <c r="G46" s="32">
        <f>1004.5+574</f>
        <v>1578.5</v>
      </c>
      <c r="H46" s="32">
        <v>2559.67</v>
      </c>
      <c r="I46" s="8">
        <v>1672</v>
      </c>
      <c r="J46" s="8">
        <v>10204.68</v>
      </c>
      <c r="K46" s="32">
        <v>16014.85</v>
      </c>
      <c r="L46" s="32">
        <f t="shared" si="4"/>
        <v>38985.15</v>
      </c>
      <c r="M46" s="25"/>
    </row>
    <row r="47" spans="1:13" ht="32.25" customHeight="1">
      <c r="A47" s="37">
        <v>25</v>
      </c>
      <c r="B47" s="34" t="s">
        <v>90</v>
      </c>
      <c r="C47" s="89" t="s">
        <v>36</v>
      </c>
      <c r="D47" s="37" t="s">
        <v>14</v>
      </c>
      <c r="E47" s="30" t="s">
        <v>43</v>
      </c>
      <c r="F47" s="32">
        <v>60000</v>
      </c>
      <c r="G47" s="32">
        <v>1722</v>
      </c>
      <c r="H47" s="32">
        <v>3486.65</v>
      </c>
      <c r="I47" s="32">
        <v>1824</v>
      </c>
      <c r="J47" s="32">
        <v>325</v>
      </c>
      <c r="K47" s="32">
        <f t="shared" si="5"/>
        <v>7357.65</v>
      </c>
      <c r="L47" s="32">
        <f t="shared" si="4"/>
        <v>52642.35</v>
      </c>
      <c r="M47" s="25"/>
    </row>
    <row r="48" spans="1:13" ht="32.25" customHeight="1">
      <c r="A48" s="37">
        <v>26</v>
      </c>
      <c r="B48" s="34" t="s">
        <v>91</v>
      </c>
      <c r="C48" s="34" t="s">
        <v>36</v>
      </c>
      <c r="D48" s="37" t="s">
        <v>15</v>
      </c>
      <c r="E48" s="30" t="s">
        <v>56</v>
      </c>
      <c r="F48" s="32">
        <v>55000</v>
      </c>
      <c r="G48" s="32">
        <v>1578.5</v>
      </c>
      <c r="H48" s="32">
        <v>2271.71</v>
      </c>
      <c r="I48" s="32">
        <v>1672</v>
      </c>
      <c r="J48" s="32">
        <v>19199.73</v>
      </c>
      <c r="K48" s="32">
        <f t="shared" si="5"/>
        <v>24721.94</v>
      </c>
      <c r="L48" s="32">
        <f>F48-K48</f>
        <v>30278.06</v>
      </c>
      <c r="M48" s="25"/>
    </row>
    <row r="49" spans="1:13" ht="32.25" customHeight="1">
      <c r="A49" s="37">
        <v>27</v>
      </c>
      <c r="B49" s="34" t="s">
        <v>92</v>
      </c>
      <c r="C49" s="34" t="s">
        <v>93</v>
      </c>
      <c r="D49" s="37" t="s">
        <v>15</v>
      </c>
      <c r="E49" s="30" t="s">
        <v>56</v>
      </c>
      <c r="F49" s="32">
        <v>30000</v>
      </c>
      <c r="G49" s="32">
        <v>861</v>
      </c>
      <c r="H49" s="32">
        <v>0</v>
      </c>
      <c r="I49" s="32">
        <v>912</v>
      </c>
      <c r="J49" s="32">
        <v>2915.63</v>
      </c>
      <c r="K49" s="32">
        <f t="shared" si="5"/>
        <v>4688.63</v>
      </c>
      <c r="L49" s="32">
        <f t="shared" si="4"/>
        <v>25311.37</v>
      </c>
      <c r="M49" s="25"/>
    </row>
    <row r="50" spans="1:13" ht="32.25" customHeight="1">
      <c r="A50" s="4" t="s">
        <v>24</v>
      </c>
      <c r="B50" s="5"/>
      <c r="C50" s="5"/>
      <c r="D50" s="6"/>
      <c r="E50" s="4"/>
      <c r="F50" s="36">
        <f t="shared" ref="F50:L50" si="6">SUM(F43:F49)</f>
        <v>492500</v>
      </c>
      <c r="G50" s="36">
        <f t="shared" si="6"/>
        <v>14134.75</v>
      </c>
      <c r="H50" s="36">
        <f t="shared" si="6"/>
        <v>41846.07</v>
      </c>
      <c r="I50" s="36">
        <f t="shared" si="6"/>
        <v>14972</v>
      </c>
      <c r="J50" s="36">
        <f t="shared" si="6"/>
        <v>113892.68000000001</v>
      </c>
      <c r="K50" s="36">
        <f t="shared" si="6"/>
        <v>184845.5</v>
      </c>
      <c r="L50" s="36">
        <f t="shared" si="6"/>
        <v>307654.5</v>
      </c>
      <c r="M50" s="25"/>
    </row>
    <row r="51" spans="1:13" ht="32.25" customHeight="1">
      <c r="A51" s="95" t="s">
        <v>94</v>
      </c>
      <c r="B51" s="95" t="s">
        <v>95</v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25"/>
    </row>
    <row r="52" spans="1:13" ht="32.25" customHeight="1">
      <c r="A52" s="26" t="s">
        <v>0</v>
      </c>
      <c r="B52" s="27" t="s">
        <v>1</v>
      </c>
      <c r="C52" s="27" t="s">
        <v>2</v>
      </c>
      <c r="D52" s="26" t="s">
        <v>13</v>
      </c>
      <c r="E52" s="27" t="s">
        <v>3</v>
      </c>
      <c r="F52" s="26" t="s">
        <v>28</v>
      </c>
      <c r="G52" s="26" t="s">
        <v>4</v>
      </c>
      <c r="H52" s="26" t="s">
        <v>6</v>
      </c>
      <c r="I52" s="26" t="s">
        <v>5</v>
      </c>
      <c r="J52" s="26" t="s">
        <v>31</v>
      </c>
      <c r="K52" s="26" t="s">
        <v>30</v>
      </c>
      <c r="L52" s="26" t="s">
        <v>29</v>
      </c>
      <c r="M52" s="25"/>
    </row>
    <row r="53" spans="1:13" ht="32.25" customHeight="1">
      <c r="A53" s="30">
        <v>28</v>
      </c>
      <c r="B53" s="29" t="s">
        <v>96</v>
      </c>
      <c r="C53" s="29" t="s">
        <v>33</v>
      </c>
      <c r="D53" s="30" t="s">
        <v>15</v>
      </c>
      <c r="E53" s="30" t="s">
        <v>43</v>
      </c>
      <c r="F53" s="32">
        <f>55000+7000</f>
        <v>62000</v>
      </c>
      <c r="G53" s="32">
        <f>1578.5+200.9</f>
        <v>1779.4</v>
      </c>
      <c r="H53" s="32">
        <f>2559.67+1303.34</f>
        <v>3863.01</v>
      </c>
      <c r="I53" s="32">
        <f>212.8+1672</f>
        <v>1884.8</v>
      </c>
      <c r="J53" s="32">
        <f>1425</f>
        <v>1425</v>
      </c>
      <c r="K53" s="8">
        <f>G53+H53+I53+J53</f>
        <v>8952.2099999999991</v>
      </c>
      <c r="L53" s="32">
        <f>F53-K53</f>
        <v>53047.79</v>
      </c>
      <c r="M53" s="25"/>
    </row>
    <row r="54" spans="1:13" ht="32.25" customHeight="1">
      <c r="A54" s="30">
        <v>29</v>
      </c>
      <c r="B54" s="29" t="s">
        <v>97</v>
      </c>
      <c r="C54" s="29" t="s">
        <v>98</v>
      </c>
      <c r="D54" s="30" t="s">
        <v>15</v>
      </c>
      <c r="E54" s="30" t="s">
        <v>56</v>
      </c>
      <c r="F54" s="32">
        <f>35000+10000</f>
        <v>45000</v>
      </c>
      <c r="G54" s="32">
        <f>1004.5+287</f>
        <v>1291.5</v>
      </c>
      <c r="H54" s="32">
        <f>860.36</f>
        <v>860.36</v>
      </c>
      <c r="I54" s="32">
        <v>1368</v>
      </c>
      <c r="J54" s="32">
        <f>3044.78</f>
        <v>3044.78</v>
      </c>
      <c r="K54" s="8">
        <f>G54+H54+I54+J54</f>
        <v>6564.64</v>
      </c>
      <c r="L54" s="32">
        <f>F54-K54</f>
        <v>38435.360000000001</v>
      </c>
      <c r="M54" s="25"/>
    </row>
    <row r="55" spans="1:13" ht="32.25" customHeight="1">
      <c r="A55" s="4" t="s">
        <v>24</v>
      </c>
      <c r="B55" s="7"/>
      <c r="C55" s="7"/>
      <c r="D55" s="6"/>
      <c r="E55" s="4"/>
      <c r="F55" s="36">
        <f t="shared" ref="F55:L55" si="7">SUM(F53:F54)</f>
        <v>107000</v>
      </c>
      <c r="G55" s="36">
        <f t="shared" si="7"/>
        <v>3070.9</v>
      </c>
      <c r="H55" s="36">
        <f t="shared" si="7"/>
        <v>4723.37</v>
      </c>
      <c r="I55" s="36">
        <f t="shared" si="7"/>
        <v>3252.8</v>
      </c>
      <c r="J55" s="36">
        <f t="shared" si="7"/>
        <v>4469.7800000000007</v>
      </c>
      <c r="K55" s="36">
        <f t="shared" si="7"/>
        <v>15516.849999999999</v>
      </c>
      <c r="L55" s="36">
        <f t="shared" si="7"/>
        <v>91483.15</v>
      </c>
      <c r="M55" s="25"/>
    </row>
    <row r="56" spans="1:13" ht="32.25" customHeight="1">
      <c r="A56" s="95" t="s">
        <v>99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25"/>
    </row>
    <row r="57" spans="1:13" ht="32.25" customHeight="1">
      <c r="A57" s="26" t="s">
        <v>0</v>
      </c>
      <c r="B57" s="27" t="s">
        <v>1</v>
      </c>
      <c r="C57" s="27" t="s">
        <v>2</v>
      </c>
      <c r="D57" s="26" t="s">
        <v>13</v>
      </c>
      <c r="E57" s="27" t="s">
        <v>3</v>
      </c>
      <c r="F57" s="26" t="s">
        <v>28</v>
      </c>
      <c r="G57" s="26" t="s">
        <v>4</v>
      </c>
      <c r="H57" s="26" t="s">
        <v>6</v>
      </c>
      <c r="I57" s="26" t="s">
        <v>5</v>
      </c>
      <c r="J57" s="26" t="s">
        <v>31</v>
      </c>
      <c r="K57" s="26" t="s">
        <v>30</v>
      </c>
      <c r="L57" s="26" t="s">
        <v>29</v>
      </c>
      <c r="M57" s="25"/>
    </row>
    <row r="58" spans="1:13" ht="62.25" customHeight="1">
      <c r="A58" s="30">
        <v>30</v>
      </c>
      <c r="B58" s="29" t="s">
        <v>100</v>
      </c>
      <c r="C58" s="89" t="s">
        <v>101</v>
      </c>
      <c r="D58" s="21" t="s">
        <v>15</v>
      </c>
      <c r="E58" s="30" t="s">
        <v>43</v>
      </c>
      <c r="F58" s="8">
        <f>50000+51500</f>
        <v>101500</v>
      </c>
      <c r="G58" s="8">
        <f>1435+1478.05</f>
        <v>2913.05</v>
      </c>
      <c r="H58" s="8">
        <f>1854+10604.27</f>
        <v>12458.27</v>
      </c>
      <c r="I58" s="8">
        <f>1520+1565.6</f>
        <v>3085.6</v>
      </c>
      <c r="J58" s="8">
        <v>6151.6</v>
      </c>
      <c r="K58" s="8">
        <f>10960.6+13647.92</f>
        <v>24608.52</v>
      </c>
      <c r="L58" s="8">
        <f>F58-K58</f>
        <v>76891.48</v>
      </c>
      <c r="M58" s="25"/>
    </row>
    <row r="59" spans="1:13" ht="32.25" customHeight="1">
      <c r="A59" s="4" t="s">
        <v>24</v>
      </c>
      <c r="B59" s="7"/>
      <c r="C59" s="7"/>
      <c r="D59" s="6"/>
      <c r="E59" s="4"/>
      <c r="F59" s="36">
        <f>SUM(F58:F58)</f>
        <v>101500</v>
      </c>
      <c r="G59" s="36">
        <f>SUM(G58:G58)</f>
        <v>2913.05</v>
      </c>
      <c r="H59" s="36">
        <f>SUM(H58:H58)</f>
        <v>12458.27</v>
      </c>
      <c r="I59" s="36">
        <f>+SUM(I58:I58)</f>
        <v>3085.6</v>
      </c>
      <c r="J59" s="36">
        <f>SUM(J58:J58)</f>
        <v>6151.6</v>
      </c>
      <c r="K59" s="36">
        <f>+SUM(K58:K58)</f>
        <v>24608.52</v>
      </c>
      <c r="L59" s="36">
        <f>SUM(L58:L58)</f>
        <v>76891.48</v>
      </c>
      <c r="M59" s="25"/>
    </row>
    <row r="60" spans="1:13" ht="32.25" customHeight="1">
      <c r="A60" s="95" t="s">
        <v>102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25"/>
    </row>
    <row r="61" spans="1:13" ht="32.25" customHeight="1">
      <c r="A61" s="26" t="s">
        <v>0</v>
      </c>
      <c r="B61" s="27" t="s">
        <v>1</v>
      </c>
      <c r="C61" s="27" t="s">
        <v>2</v>
      </c>
      <c r="D61" s="26" t="s">
        <v>13</v>
      </c>
      <c r="E61" s="27" t="s">
        <v>3</v>
      </c>
      <c r="F61" s="26" t="s">
        <v>28</v>
      </c>
      <c r="G61" s="26" t="s">
        <v>4</v>
      </c>
      <c r="H61" s="26" t="s">
        <v>6</v>
      </c>
      <c r="I61" s="26" t="s">
        <v>5</v>
      </c>
      <c r="J61" s="26" t="s">
        <v>31</v>
      </c>
      <c r="K61" s="26" t="s">
        <v>30</v>
      </c>
      <c r="L61" s="26" t="s">
        <v>29</v>
      </c>
      <c r="M61" s="25"/>
    </row>
    <row r="62" spans="1:13" ht="43.5" customHeight="1">
      <c r="A62" s="28">
        <v>31</v>
      </c>
      <c r="B62" s="29" t="s">
        <v>103</v>
      </c>
      <c r="C62" s="29" t="s">
        <v>104</v>
      </c>
      <c r="D62" s="30" t="s">
        <v>14</v>
      </c>
      <c r="E62" s="30" t="s">
        <v>56</v>
      </c>
      <c r="F62" s="8">
        <v>37000</v>
      </c>
      <c r="G62" s="8">
        <v>1061.9000000000001</v>
      </c>
      <c r="H62" s="32">
        <v>19.239999999999998</v>
      </c>
      <c r="I62" s="8">
        <v>1124.8</v>
      </c>
      <c r="J62" s="8">
        <v>225</v>
      </c>
      <c r="K62" s="8">
        <f t="shared" ref="K62:K67" si="8">G62+H62+I62+J62</f>
        <v>2430.94</v>
      </c>
      <c r="L62" s="8">
        <f t="shared" ref="L62:L67" si="9">F62-K62</f>
        <v>34569.06</v>
      </c>
      <c r="M62" s="25"/>
    </row>
    <row r="63" spans="1:13" ht="32.25" customHeight="1">
      <c r="A63" s="28">
        <v>32</v>
      </c>
      <c r="B63" s="35" t="s">
        <v>105</v>
      </c>
      <c r="C63" s="29" t="s">
        <v>106</v>
      </c>
      <c r="D63" s="30" t="s">
        <v>14</v>
      </c>
      <c r="E63" s="30" t="s">
        <v>43</v>
      </c>
      <c r="F63" s="8">
        <v>60000</v>
      </c>
      <c r="G63" s="8">
        <v>1722</v>
      </c>
      <c r="H63" s="32">
        <v>2718.74</v>
      </c>
      <c r="I63" s="8">
        <v>1824</v>
      </c>
      <c r="J63" s="8">
        <v>10637.77</v>
      </c>
      <c r="K63" s="8">
        <f t="shared" si="8"/>
        <v>16902.510000000002</v>
      </c>
      <c r="L63" s="8">
        <f t="shared" si="9"/>
        <v>43097.49</v>
      </c>
      <c r="M63" s="25"/>
    </row>
    <row r="64" spans="1:13" ht="73.5" customHeight="1">
      <c r="A64" s="28">
        <v>33</v>
      </c>
      <c r="B64" s="29" t="s">
        <v>107</v>
      </c>
      <c r="C64" s="29" t="s">
        <v>108</v>
      </c>
      <c r="D64" s="30" t="s">
        <v>14</v>
      </c>
      <c r="E64" s="30" t="s">
        <v>43</v>
      </c>
      <c r="F64" s="8">
        <v>122500</v>
      </c>
      <c r="G64" s="8">
        <v>3515.75</v>
      </c>
      <c r="H64" s="8">
        <v>16918.05</v>
      </c>
      <c r="I64" s="8">
        <v>3724</v>
      </c>
      <c r="J64" s="8">
        <v>2044.78</v>
      </c>
      <c r="K64" s="8">
        <f t="shared" si="8"/>
        <v>26202.579999999998</v>
      </c>
      <c r="L64" s="8">
        <f t="shared" si="9"/>
        <v>96297.42</v>
      </c>
      <c r="M64" s="25"/>
    </row>
    <row r="65" spans="1:13" ht="32.25" customHeight="1">
      <c r="A65" s="28">
        <v>34</v>
      </c>
      <c r="B65" s="29" t="s">
        <v>109</v>
      </c>
      <c r="C65" s="29" t="s">
        <v>110</v>
      </c>
      <c r="D65" s="30" t="s">
        <v>14</v>
      </c>
      <c r="E65" s="30" t="s">
        <v>43</v>
      </c>
      <c r="F65" s="8">
        <v>54450</v>
      </c>
      <c r="G65" s="8">
        <v>1562.72</v>
      </c>
      <c r="H65" s="32">
        <v>2482.0500000000002</v>
      </c>
      <c r="I65" s="8">
        <v>1655.28</v>
      </c>
      <c r="J65" s="8">
        <v>25</v>
      </c>
      <c r="K65" s="8">
        <f t="shared" si="8"/>
        <v>5725.05</v>
      </c>
      <c r="L65" s="8">
        <f t="shared" si="9"/>
        <v>48724.95</v>
      </c>
      <c r="M65" s="25"/>
    </row>
    <row r="66" spans="1:13" ht="43.5" customHeight="1">
      <c r="A66" s="28">
        <v>35</v>
      </c>
      <c r="B66" s="29" t="s">
        <v>111</v>
      </c>
      <c r="C66" s="29" t="s">
        <v>112</v>
      </c>
      <c r="D66" s="30" t="s">
        <v>14</v>
      </c>
      <c r="E66" s="30" t="s">
        <v>43</v>
      </c>
      <c r="F66" s="8">
        <f>48000+45000</f>
        <v>93000</v>
      </c>
      <c r="G66" s="8">
        <v>2669.1</v>
      </c>
      <c r="H66" s="32">
        <v>10458.86</v>
      </c>
      <c r="I66" s="8">
        <v>2827.2</v>
      </c>
      <c r="J66" s="8">
        <v>9233.6200000000008</v>
      </c>
      <c r="K66" s="8">
        <f t="shared" si="8"/>
        <v>25188.78</v>
      </c>
      <c r="L66" s="8">
        <f t="shared" si="9"/>
        <v>67811.22</v>
      </c>
      <c r="M66" s="25"/>
    </row>
    <row r="67" spans="1:13" ht="50.25" customHeight="1">
      <c r="A67" s="28">
        <v>36</v>
      </c>
      <c r="B67" s="29" t="s">
        <v>113</v>
      </c>
      <c r="C67" s="29" t="s">
        <v>114</v>
      </c>
      <c r="D67" s="30" t="s">
        <v>14</v>
      </c>
      <c r="E67" s="30" t="s">
        <v>56</v>
      </c>
      <c r="F67" s="8">
        <v>33500</v>
      </c>
      <c r="G67" s="8">
        <v>961.45</v>
      </c>
      <c r="H67" s="32">
        <v>0</v>
      </c>
      <c r="I67" s="8">
        <v>1018.4</v>
      </c>
      <c r="J67" s="8">
        <v>695</v>
      </c>
      <c r="K67" s="8">
        <f t="shared" si="8"/>
        <v>2674.85</v>
      </c>
      <c r="L67" s="8">
        <f t="shared" si="9"/>
        <v>30825.15</v>
      </c>
      <c r="M67" s="25"/>
    </row>
    <row r="68" spans="1:13" ht="32.25" customHeight="1">
      <c r="A68" s="4" t="s">
        <v>24</v>
      </c>
      <c r="B68" s="7"/>
      <c r="C68" s="7"/>
      <c r="D68" s="6"/>
      <c r="E68" s="4"/>
      <c r="F68" s="36">
        <v>400450</v>
      </c>
      <c r="G68" s="36">
        <f t="shared" ref="G68:L68" si="10">SUM(G62:G67)</f>
        <v>11492.92</v>
      </c>
      <c r="H68" s="36">
        <f t="shared" si="10"/>
        <v>32596.94</v>
      </c>
      <c r="I68" s="36">
        <f t="shared" si="10"/>
        <v>12173.679999999998</v>
      </c>
      <c r="J68" s="36">
        <f t="shared" si="10"/>
        <v>22861.170000000002</v>
      </c>
      <c r="K68" s="36">
        <f t="shared" si="10"/>
        <v>79124.710000000006</v>
      </c>
      <c r="L68" s="9">
        <f t="shared" si="10"/>
        <v>321325.29000000004</v>
      </c>
      <c r="M68" s="25"/>
    </row>
    <row r="69" spans="1:13" ht="32.25" customHeight="1">
      <c r="A69" s="4"/>
      <c r="B69" s="7"/>
      <c r="C69" s="7"/>
      <c r="D69" s="6"/>
      <c r="E69" s="4"/>
      <c r="F69" s="36"/>
      <c r="G69" s="36"/>
      <c r="H69" s="36"/>
      <c r="I69" s="36"/>
      <c r="J69" s="36"/>
      <c r="K69" s="36"/>
      <c r="L69" s="9"/>
      <c r="M69" s="25"/>
    </row>
    <row r="70" spans="1:13" ht="32.25" customHeight="1">
      <c r="A70" s="4"/>
      <c r="B70" s="7"/>
      <c r="C70" s="7"/>
      <c r="D70" s="6"/>
      <c r="E70" s="4"/>
      <c r="F70" s="36"/>
      <c r="G70" s="36"/>
      <c r="H70" s="36"/>
      <c r="I70" s="36"/>
      <c r="J70" s="36"/>
      <c r="K70" s="36"/>
      <c r="L70" s="9"/>
      <c r="M70" s="25"/>
    </row>
    <row r="71" spans="1:13" ht="32.25" customHeight="1">
      <c r="A71" s="4"/>
      <c r="B71" s="7"/>
      <c r="C71" s="7"/>
      <c r="D71" s="6"/>
      <c r="E71" s="4"/>
      <c r="F71" s="36"/>
      <c r="G71" s="36"/>
      <c r="H71" s="36"/>
      <c r="I71" s="36"/>
      <c r="J71" s="36"/>
      <c r="K71" s="36"/>
      <c r="L71" s="9"/>
      <c r="M71" s="25"/>
    </row>
    <row r="72" spans="1:13" ht="32.25" customHeight="1">
      <c r="A72" s="95" t="s">
        <v>115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25"/>
    </row>
    <row r="73" spans="1:13" ht="32.25" customHeight="1">
      <c r="A73" s="26" t="s">
        <v>0</v>
      </c>
      <c r="B73" s="27" t="s">
        <v>1</v>
      </c>
      <c r="C73" s="27" t="s">
        <v>2</v>
      </c>
      <c r="D73" s="26" t="s">
        <v>13</v>
      </c>
      <c r="E73" s="27" t="s">
        <v>3</v>
      </c>
      <c r="F73" s="26" t="s">
        <v>28</v>
      </c>
      <c r="G73" s="26" t="s">
        <v>4</v>
      </c>
      <c r="H73" s="26" t="s">
        <v>6</v>
      </c>
      <c r="I73" s="26" t="s">
        <v>5</v>
      </c>
      <c r="J73" s="26" t="s">
        <v>31</v>
      </c>
      <c r="K73" s="26" t="s">
        <v>30</v>
      </c>
      <c r="L73" s="26" t="s">
        <v>29</v>
      </c>
      <c r="M73" s="25"/>
    </row>
    <row r="74" spans="1:13" ht="32.25" customHeight="1">
      <c r="A74" s="28">
        <v>37</v>
      </c>
      <c r="B74" s="29" t="s">
        <v>116</v>
      </c>
      <c r="C74" s="29" t="s">
        <v>117</v>
      </c>
      <c r="D74" s="37" t="s">
        <v>15</v>
      </c>
      <c r="E74" s="30" t="s">
        <v>43</v>
      </c>
      <c r="F74" s="32">
        <v>122500</v>
      </c>
      <c r="G74" s="32">
        <v>3515.75</v>
      </c>
      <c r="H74" s="32">
        <v>17398</v>
      </c>
      <c r="I74" s="32">
        <v>3724</v>
      </c>
      <c r="J74" s="32">
        <v>4138.3</v>
      </c>
      <c r="K74" s="32">
        <f>G74+H74+I74+J74</f>
        <v>28776.05</v>
      </c>
      <c r="L74" s="32">
        <f>F74-K74</f>
        <v>93723.95</v>
      </c>
      <c r="M74" s="25"/>
    </row>
    <row r="75" spans="1:13" ht="32.25" customHeight="1">
      <c r="A75" s="30">
        <v>38</v>
      </c>
      <c r="B75" s="29" t="s">
        <v>118</v>
      </c>
      <c r="C75" s="29" t="s">
        <v>34</v>
      </c>
      <c r="D75" s="30" t="s">
        <v>14</v>
      </c>
      <c r="E75" s="30" t="s">
        <v>56</v>
      </c>
      <c r="F75" s="32">
        <f>35000+20000</f>
        <v>55000</v>
      </c>
      <c r="G75" s="32">
        <f>1004.5+574</f>
        <v>1578.5</v>
      </c>
      <c r="H75" s="32">
        <v>2559.67</v>
      </c>
      <c r="I75" s="32">
        <f>1064+608</f>
        <v>1672</v>
      </c>
      <c r="J75" s="32">
        <v>20304</v>
      </c>
      <c r="K75" s="32">
        <f>G75+H75+I75+J75</f>
        <v>26114.17</v>
      </c>
      <c r="L75" s="8">
        <f>F75-K75</f>
        <v>28885.83</v>
      </c>
      <c r="M75" s="25"/>
    </row>
    <row r="76" spans="1:13" ht="32.25" customHeight="1">
      <c r="A76" s="4" t="s">
        <v>24</v>
      </c>
      <c r="B76" s="7"/>
      <c r="C76" s="7"/>
      <c r="D76" s="6"/>
      <c r="E76" s="4"/>
      <c r="F76" s="36">
        <f t="shared" ref="F76:L76" si="11">SUM(F74:F75)</f>
        <v>177500</v>
      </c>
      <c r="G76" s="36">
        <f t="shared" si="11"/>
        <v>5094.25</v>
      </c>
      <c r="H76" s="36">
        <f t="shared" si="11"/>
        <v>19957.669999999998</v>
      </c>
      <c r="I76" s="36">
        <f t="shared" si="11"/>
        <v>5396</v>
      </c>
      <c r="J76" s="36">
        <f t="shared" si="11"/>
        <v>24442.3</v>
      </c>
      <c r="K76" s="36">
        <f>SUM(K74:K75)</f>
        <v>54890.22</v>
      </c>
      <c r="L76" s="36">
        <f t="shared" si="11"/>
        <v>122609.78</v>
      </c>
      <c r="M76" s="25"/>
    </row>
    <row r="77" spans="1:13" ht="32.25" customHeight="1">
      <c r="A77" s="95" t="s">
        <v>119</v>
      </c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25"/>
    </row>
    <row r="78" spans="1:13" ht="32.25" customHeight="1">
      <c r="A78" s="26" t="s">
        <v>0</v>
      </c>
      <c r="B78" s="27" t="s">
        <v>1</v>
      </c>
      <c r="C78" s="27" t="s">
        <v>2</v>
      </c>
      <c r="D78" s="26" t="s">
        <v>13</v>
      </c>
      <c r="E78" s="27" t="s">
        <v>3</v>
      </c>
      <c r="F78" s="26" t="s">
        <v>28</v>
      </c>
      <c r="G78" s="26" t="s">
        <v>4</v>
      </c>
      <c r="H78" s="26" t="s">
        <v>6</v>
      </c>
      <c r="I78" s="26" t="s">
        <v>5</v>
      </c>
      <c r="J78" s="26" t="s">
        <v>31</v>
      </c>
      <c r="K78" s="26" t="s">
        <v>30</v>
      </c>
      <c r="L78" s="26" t="s">
        <v>29</v>
      </c>
      <c r="M78" s="25"/>
    </row>
    <row r="79" spans="1:13" ht="32.25" customHeight="1">
      <c r="A79" s="28">
        <v>39</v>
      </c>
      <c r="B79" s="34" t="s">
        <v>120</v>
      </c>
      <c r="C79" s="29" t="s">
        <v>55</v>
      </c>
      <c r="D79" s="30" t="s">
        <v>15</v>
      </c>
      <c r="E79" s="33" t="s">
        <v>56</v>
      </c>
      <c r="F79" s="86">
        <v>70000</v>
      </c>
      <c r="G79" s="8">
        <f>F79*0.0287</f>
        <v>2009</v>
      </c>
      <c r="H79" s="32">
        <v>5368.45</v>
      </c>
      <c r="I79" s="32">
        <f>IF(F79&lt;75829.93,F79*0.0304,2305.23)</f>
        <v>2128</v>
      </c>
      <c r="J79" s="31">
        <v>41310.68</v>
      </c>
      <c r="K79" s="31">
        <f>+G79+I79+H79+J79</f>
        <v>50816.130000000005</v>
      </c>
      <c r="L79" s="31">
        <f>+F79-K79</f>
        <v>19183.869999999995</v>
      </c>
      <c r="M79" s="25"/>
    </row>
    <row r="80" spans="1:13" ht="32.25" customHeight="1">
      <c r="A80" s="4" t="s">
        <v>24</v>
      </c>
      <c r="B80" s="7"/>
      <c r="C80" s="7"/>
      <c r="D80" s="6"/>
      <c r="E80" s="4"/>
      <c r="F80" s="87">
        <f>+F79</f>
        <v>70000</v>
      </c>
      <c r="G80" s="88">
        <f>+SUM(G79)</f>
        <v>2009</v>
      </c>
      <c r="H80" s="71">
        <f>SUM(H79)</f>
        <v>5368.45</v>
      </c>
      <c r="I80" s="87">
        <f>+SUM(I79)</f>
        <v>2128</v>
      </c>
      <c r="J80" s="87">
        <f>+J79</f>
        <v>41310.68</v>
      </c>
      <c r="K80" s="36">
        <f>SUM(K79)</f>
        <v>50816.130000000005</v>
      </c>
      <c r="L80" s="87">
        <f>SUM(L79)</f>
        <v>19183.869999999995</v>
      </c>
      <c r="M80" s="25"/>
    </row>
    <row r="81" spans="1:13" ht="32.25" customHeight="1">
      <c r="A81" s="95" t="s">
        <v>121</v>
      </c>
      <c r="B81" s="95" t="s">
        <v>95</v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25"/>
    </row>
    <row r="82" spans="1:13" ht="32.25" customHeight="1">
      <c r="A82" s="26" t="s">
        <v>0</v>
      </c>
      <c r="B82" s="27" t="s">
        <v>1</v>
      </c>
      <c r="C82" s="27" t="s">
        <v>2</v>
      </c>
      <c r="D82" s="26" t="s">
        <v>13</v>
      </c>
      <c r="E82" s="27" t="s">
        <v>3</v>
      </c>
      <c r="F82" s="26" t="s">
        <v>28</v>
      </c>
      <c r="G82" s="26" t="s">
        <v>4</v>
      </c>
      <c r="H82" s="26" t="s">
        <v>6</v>
      </c>
      <c r="I82" s="26" t="s">
        <v>5</v>
      </c>
      <c r="J82" s="26" t="s">
        <v>31</v>
      </c>
      <c r="K82" s="26" t="s">
        <v>30</v>
      </c>
      <c r="L82" s="26" t="s">
        <v>29</v>
      </c>
      <c r="M82" s="25"/>
    </row>
    <row r="83" spans="1:13" ht="32.25" customHeight="1">
      <c r="A83" s="28">
        <v>40</v>
      </c>
      <c r="B83" s="29" t="s">
        <v>122</v>
      </c>
      <c r="C83" s="29" t="s">
        <v>123</v>
      </c>
      <c r="D83" s="37" t="s">
        <v>15</v>
      </c>
      <c r="E83" s="30" t="s">
        <v>43</v>
      </c>
      <c r="F83" s="32">
        <v>60000</v>
      </c>
      <c r="G83" s="32">
        <v>1722</v>
      </c>
      <c r="H83" s="32">
        <v>3486.65</v>
      </c>
      <c r="I83" s="32">
        <v>1824</v>
      </c>
      <c r="J83" s="32">
        <v>225</v>
      </c>
      <c r="K83" s="32">
        <f>G83+H83+I83+J83</f>
        <v>7257.65</v>
      </c>
      <c r="L83" s="32">
        <f>F83-K83</f>
        <v>52742.35</v>
      </c>
      <c r="M83" s="25"/>
    </row>
    <row r="84" spans="1:13" ht="32.25" customHeight="1">
      <c r="A84" s="28">
        <v>41</v>
      </c>
      <c r="B84" s="29" t="s">
        <v>124</v>
      </c>
      <c r="C84" s="29" t="s">
        <v>125</v>
      </c>
      <c r="D84" s="30" t="s">
        <v>15</v>
      </c>
      <c r="E84" s="30" t="s">
        <v>43</v>
      </c>
      <c r="F84" s="84">
        <v>60000</v>
      </c>
      <c r="G84" s="84">
        <v>1722</v>
      </c>
      <c r="H84" s="85">
        <v>3102.69</v>
      </c>
      <c r="I84" s="84">
        <v>1824</v>
      </c>
      <c r="J84" s="84">
        <v>20975.5</v>
      </c>
      <c r="K84" s="84">
        <v>27624.19</v>
      </c>
      <c r="L84" s="84">
        <f>F84-K84</f>
        <v>32375.81</v>
      </c>
      <c r="M84" s="25"/>
    </row>
    <row r="85" spans="1:13" ht="32.25" customHeight="1">
      <c r="A85" s="30">
        <v>42</v>
      </c>
      <c r="B85" s="29" t="s">
        <v>126</v>
      </c>
      <c r="C85" s="29" t="s">
        <v>125</v>
      </c>
      <c r="D85" s="30" t="s">
        <v>15</v>
      </c>
      <c r="E85" s="30" t="s">
        <v>43</v>
      </c>
      <c r="F85" s="32">
        <v>50000</v>
      </c>
      <c r="G85" s="32">
        <v>1435</v>
      </c>
      <c r="H85" s="32">
        <v>1854</v>
      </c>
      <c r="I85" s="32">
        <v>1520</v>
      </c>
      <c r="J85" s="32">
        <v>3877.23</v>
      </c>
      <c r="K85" s="32">
        <f>G85+H85+I85+J85</f>
        <v>8686.23</v>
      </c>
      <c r="L85" s="32">
        <f>F85-K85</f>
        <v>41313.770000000004</v>
      </c>
      <c r="M85" s="25"/>
    </row>
    <row r="86" spans="1:13" ht="32.25" customHeight="1">
      <c r="A86" s="4" t="s">
        <v>24</v>
      </c>
      <c r="B86" s="7"/>
      <c r="C86" s="7"/>
      <c r="D86" s="6"/>
      <c r="E86" s="4"/>
      <c r="F86" s="36">
        <f t="shared" ref="F86:K86" si="12">SUM(F83:F85)</f>
        <v>170000</v>
      </c>
      <c r="G86" s="36">
        <f t="shared" si="12"/>
        <v>4879</v>
      </c>
      <c r="H86" s="36">
        <f t="shared" si="12"/>
        <v>8443.34</v>
      </c>
      <c r="I86" s="36">
        <f t="shared" si="12"/>
        <v>5168</v>
      </c>
      <c r="J86" s="36">
        <f t="shared" si="12"/>
        <v>25077.73</v>
      </c>
      <c r="K86" s="36">
        <f t="shared" si="12"/>
        <v>43568.069999999992</v>
      </c>
      <c r="L86" s="36">
        <f>F86-K86</f>
        <v>126431.93000000001</v>
      </c>
      <c r="M86" s="25"/>
    </row>
    <row r="87" spans="1:13" ht="32.25" customHeight="1">
      <c r="A87" s="95" t="s">
        <v>127</v>
      </c>
      <c r="B87" s="95" t="s">
        <v>95</v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25"/>
    </row>
    <row r="88" spans="1:13" ht="32.25" customHeight="1">
      <c r="A88" s="26" t="s">
        <v>0</v>
      </c>
      <c r="B88" s="27" t="s">
        <v>1</v>
      </c>
      <c r="C88" s="27" t="s">
        <v>2</v>
      </c>
      <c r="D88" s="26" t="s">
        <v>13</v>
      </c>
      <c r="E88" s="27" t="s">
        <v>3</v>
      </c>
      <c r="F88" s="26" t="s">
        <v>28</v>
      </c>
      <c r="G88" s="26" t="s">
        <v>4</v>
      </c>
      <c r="H88" s="26" t="s">
        <v>6</v>
      </c>
      <c r="I88" s="26" t="s">
        <v>5</v>
      </c>
      <c r="J88" s="26" t="s">
        <v>31</v>
      </c>
      <c r="K88" s="26" t="s">
        <v>30</v>
      </c>
      <c r="L88" s="26" t="s">
        <v>29</v>
      </c>
      <c r="M88" s="25"/>
    </row>
    <row r="89" spans="1:13" ht="32.25" customHeight="1">
      <c r="A89" s="28">
        <v>43</v>
      </c>
      <c r="B89" s="29" t="s">
        <v>128</v>
      </c>
      <c r="C89" s="29" t="s">
        <v>129</v>
      </c>
      <c r="D89" s="37" t="s">
        <v>14</v>
      </c>
      <c r="E89" s="30" t="s">
        <v>56</v>
      </c>
      <c r="F89" s="32">
        <v>60000</v>
      </c>
      <c r="G89" s="32">
        <v>1722</v>
      </c>
      <c r="H89" s="32">
        <v>3486.65</v>
      </c>
      <c r="I89" s="32">
        <v>1824</v>
      </c>
      <c r="J89" s="32">
        <v>8632.9</v>
      </c>
      <c r="K89" s="32">
        <f t="shared" ref="K89:K95" si="13">G89+H89+I89+J89</f>
        <v>15665.55</v>
      </c>
      <c r="L89" s="32">
        <f t="shared" ref="L89:L96" si="14">F89-K89</f>
        <v>44334.45</v>
      </c>
      <c r="M89" s="25"/>
    </row>
    <row r="90" spans="1:13" ht="32.25" customHeight="1">
      <c r="A90" s="38" t="s">
        <v>257</v>
      </c>
      <c r="B90" s="29" t="s">
        <v>133</v>
      </c>
      <c r="C90" s="29" t="s">
        <v>114</v>
      </c>
      <c r="D90" s="30" t="s">
        <v>14</v>
      </c>
      <c r="E90" s="30" t="s">
        <v>56</v>
      </c>
      <c r="F90" s="32">
        <v>33500</v>
      </c>
      <c r="G90" s="32">
        <v>961.45</v>
      </c>
      <c r="H90" s="32">
        <v>0</v>
      </c>
      <c r="I90" s="32">
        <v>1018.4</v>
      </c>
      <c r="J90" s="32">
        <v>17660.25</v>
      </c>
      <c r="K90" s="32">
        <f t="shared" si="13"/>
        <v>19640.099999999999</v>
      </c>
      <c r="L90" s="32">
        <f t="shared" si="14"/>
        <v>13859.900000000001</v>
      </c>
      <c r="M90" s="25"/>
    </row>
    <row r="91" spans="1:13" ht="32.25" customHeight="1">
      <c r="A91" s="30">
        <v>45</v>
      </c>
      <c r="B91" s="35" t="s">
        <v>134</v>
      </c>
      <c r="C91" s="29" t="s">
        <v>135</v>
      </c>
      <c r="D91" s="30" t="s">
        <v>14</v>
      </c>
      <c r="E91" s="30" t="s">
        <v>56</v>
      </c>
      <c r="F91" s="32">
        <v>26000</v>
      </c>
      <c r="G91" s="3">
        <v>746.2</v>
      </c>
      <c r="H91" s="10">
        <v>0</v>
      </c>
      <c r="I91" s="32">
        <v>790.4</v>
      </c>
      <c r="J91" s="3">
        <v>25</v>
      </c>
      <c r="K91" s="3">
        <f t="shared" si="13"/>
        <v>1561.6</v>
      </c>
      <c r="L91" s="8">
        <f t="shared" si="14"/>
        <v>24438.400000000001</v>
      </c>
      <c r="M91" s="39"/>
    </row>
    <row r="92" spans="1:13" ht="32.25" customHeight="1">
      <c r="A92" s="30">
        <v>46</v>
      </c>
      <c r="B92" s="29" t="s">
        <v>136</v>
      </c>
      <c r="C92" s="29" t="s">
        <v>114</v>
      </c>
      <c r="D92" s="30" t="s">
        <v>15</v>
      </c>
      <c r="E92" s="30" t="s">
        <v>56</v>
      </c>
      <c r="F92" s="32">
        <v>35000</v>
      </c>
      <c r="G92" s="32">
        <v>1004.5</v>
      </c>
      <c r="H92" s="32">
        <v>0</v>
      </c>
      <c r="I92" s="32">
        <v>1064</v>
      </c>
      <c r="J92" s="32">
        <v>225</v>
      </c>
      <c r="K92" s="32">
        <f t="shared" si="13"/>
        <v>2293.5</v>
      </c>
      <c r="L92" s="32">
        <f t="shared" si="14"/>
        <v>32706.5</v>
      </c>
      <c r="M92" s="39"/>
    </row>
    <row r="93" spans="1:13" ht="32.25" customHeight="1">
      <c r="A93" s="30">
        <v>47</v>
      </c>
      <c r="B93" s="29" t="s">
        <v>137</v>
      </c>
      <c r="C93" s="29" t="s">
        <v>114</v>
      </c>
      <c r="D93" s="30" t="s">
        <v>14</v>
      </c>
      <c r="E93" s="30" t="s">
        <v>52</v>
      </c>
      <c r="F93" s="32">
        <v>33500</v>
      </c>
      <c r="G93" s="32">
        <v>961.45</v>
      </c>
      <c r="H93" s="32">
        <v>0</v>
      </c>
      <c r="I93" s="32">
        <v>1018.4</v>
      </c>
      <c r="J93" s="32">
        <v>1725</v>
      </c>
      <c r="K93" s="32">
        <f t="shared" si="13"/>
        <v>3704.85</v>
      </c>
      <c r="L93" s="32">
        <f t="shared" si="14"/>
        <v>29795.15</v>
      </c>
      <c r="M93" s="39"/>
    </row>
    <row r="94" spans="1:13" ht="32.25" customHeight="1">
      <c r="A94" s="28">
        <v>48</v>
      </c>
      <c r="B94" s="79" t="s">
        <v>138</v>
      </c>
      <c r="C94" s="79" t="s">
        <v>139</v>
      </c>
      <c r="D94" s="30" t="s">
        <v>15</v>
      </c>
      <c r="E94" s="30" t="s">
        <v>56</v>
      </c>
      <c r="F94" s="8">
        <v>33500</v>
      </c>
      <c r="G94" s="31">
        <v>961.45</v>
      </c>
      <c r="H94" s="10">
        <v>0</v>
      </c>
      <c r="I94" s="32">
        <v>1018.4</v>
      </c>
      <c r="J94" s="8">
        <v>3391.51</v>
      </c>
      <c r="K94" s="8">
        <f t="shared" si="13"/>
        <v>5371.3600000000006</v>
      </c>
      <c r="L94" s="31">
        <f t="shared" si="14"/>
        <v>28128.639999999999</v>
      </c>
      <c r="M94" s="39"/>
    </row>
    <row r="95" spans="1:13" ht="32.25" customHeight="1">
      <c r="A95" s="28">
        <v>49</v>
      </c>
      <c r="B95" s="79" t="s">
        <v>140</v>
      </c>
      <c r="C95" s="79" t="s">
        <v>131</v>
      </c>
      <c r="D95" s="30" t="s">
        <v>15</v>
      </c>
      <c r="E95" s="30" t="s">
        <v>56</v>
      </c>
      <c r="F95" s="8">
        <v>30000</v>
      </c>
      <c r="G95" s="31">
        <v>861</v>
      </c>
      <c r="H95" s="10">
        <v>0</v>
      </c>
      <c r="I95" s="32">
        <v>912</v>
      </c>
      <c r="J95" s="8">
        <v>4359.28</v>
      </c>
      <c r="K95" s="8">
        <f t="shared" si="13"/>
        <v>6132.28</v>
      </c>
      <c r="L95" s="31">
        <f t="shared" si="14"/>
        <v>23867.72</v>
      </c>
      <c r="M95" s="39"/>
    </row>
    <row r="96" spans="1:13" ht="32.25" customHeight="1">
      <c r="A96" s="28">
        <v>50</v>
      </c>
      <c r="B96" s="79" t="s">
        <v>141</v>
      </c>
      <c r="C96" s="79" t="s">
        <v>114</v>
      </c>
      <c r="D96" s="30" t="s">
        <v>14</v>
      </c>
      <c r="E96" s="30" t="s">
        <v>56</v>
      </c>
      <c r="F96" s="8">
        <v>30000</v>
      </c>
      <c r="G96" s="31">
        <v>861</v>
      </c>
      <c r="H96" s="10">
        <v>0</v>
      </c>
      <c r="I96" s="32">
        <v>912</v>
      </c>
      <c r="J96" s="8">
        <v>225</v>
      </c>
      <c r="K96" s="8">
        <f>G96+H96+I96+J96</f>
        <v>1998</v>
      </c>
      <c r="L96" s="31">
        <f t="shared" si="14"/>
        <v>28002</v>
      </c>
      <c r="M96" s="39"/>
    </row>
    <row r="97" spans="1:13" ht="32.25" customHeight="1">
      <c r="A97" s="4" t="s">
        <v>24</v>
      </c>
      <c r="B97" s="7"/>
      <c r="C97" s="7"/>
      <c r="D97" s="6"/>
      <c r="E97" s="4"/>
      <c r="F97" s="36">
        <f t="shared" ref="F97:L97" si="15">SUM(F89:F96)</f>
        <v>281500</v>
      </c>
      <c r="G97" s="36">
        <f t="shared" si="15"/>
        <v>8079.0499999999993</v>
      </c>
      <c r="H97" s="36">
        <f t="shared" si="15"/>
        <v>3486.65</v>
      </c>
      <c r="I97" s="36">
        <f t="shared" si="15"/>
        <v>8557.5999999999985</v>
      </c>
      <c r="J97" s="36">
        <f t="shared" si="15"/>
        <v>36243.94</v>
      </c>
      <c r="K97" s="36">
        <f t="shared" si="15"/>
        <v>56367.239999999991</v>
      </c>
      <c r="L97" s="36">
        <f t="shared" si="15"/>
        <v>225132.75999999998</v>
      </c>
      <c r="M97" s="39"/>
    </row>
    <row r="98" spans="1:13" ht="32.25" customHeight="1">
      <c r="A98" s="95" t="s">
        <v>142</v>
      </c>
      <c r="B98" s="95" t="s">
        <v>95</v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39"/>
    </row>
    <row r="99" spans="1:13" ht="32.25" customHeight="1">
      <c r="A99" s="26" t="s">
        <v>0</v>
      </c>
      <c r="B99" s="27" t="s">
        <v>1</v>
      </c>
      <c r="C99" s="27" t="s">
        <v>2</v>
      </c>
      <c r="D99" s="26" t="s">
        <v>13</v>
      </c>
      <c r="E99" s="27" t="s">
        <v>3</v>
      </c>
      <c r="F99" s="26" t="s">
        <v>28</v>
      </c>
      <c r="G99" s="26" t="s">
        <v>4</v>
      </c>
      <c r="H99" s="26" t="s">
        <v>6</v>
      </c>
      <c r="I99" s="26" t="s">
        <v>5</v>
      </c>
      <c r="J99" s="26" t="s">
        <v>31</v>
      </c>
      <c r="K99" s="26" t="s">
        <v>30</v>
      </c>
      <c r="L99" s="26" t="s">
        <v>29</v>
      </c>
      <c r="M99" s="39"/>
    </row>
    <row r="100" spans="1:13" ht="32.25" customHeight="1">
      <c r="A100" s="30">
        <v>51</v>
      </c>
      <c r="B100" s="29" t="s">
        <v>143</v>
      </c>
      <c r="C100" s="29" t="s">
        <v>265</v>
      </c>
      <c r="D100" s="30" t="s">
        <v>14</v>
      </c>
      <c r="E100" s="30" t="s">
        <v>43</v>
      </c>
      <c r="F100" s="32">
        <f>45000+37500</f>
        <v>82500</v>
      </c>
      <c r="G100" s="32">
        <f>1291.5+1076.25</f>
        <v>2367.75</v>
      </c>
      <c r="H100" s="32">
        <f>1148.32+6840.68</f>
        <v>7989</v>
      </c>
      <c r="I100" s="32">
        <f>1368+1140</f>
        <v>2508</v>
      </c>
      <c r="J100" s="32">
        <v>19746.12</v>
      </c>
      <c r="K100" s="32">
        <f>G100+H100+I100+J100</f>
        <v>32610.87</v>
      </c>
      <c r="L100" s="32">
        <f>F100-K100</f>
        <v>49889.130000000005</v>
      </c>
      <c r="M100" s="39"/>
    </row>
    <row r="101" spans="1:13" ht="32.25" customHeight="1">
      <c r="A101" s="4" t="s">
        <v>24</v>
      </c>
      <c r="B101" s="7"/>
      <c r="C101" s="7"/>
      <c r="D101" s="6"/>
      <c r="E101" s="4"/>
      <c r="F101" s="36">
        <f>SUM(F100)</f>
        <v>82500</v>
      </c>
      <c r="G101" s="36">
        <f t="shared" ref="G101:L101" si="16">SUM(G100:G100)</f>
        <v>2367.75</v>
      </c>
      <c r="H101" s="36">
        <f>SUM(H100)</f>
        <v>7989</v>
      </c>
      <c r="I101" s="36">
        <f t="shared" si="16"/>
        <v>2508</v>
      </c>
      <c r="J101" s="36">
        <f t="shared" si="16"/>
        <v>19746.12</v>
      </c>
      <c r="K101" s="36">
        <f t="shared" si="16"/>
        <v>32610.87</v>
      </c>
      <c r="L101" s="36">
        <f t="shared" si="16"/>
        <v>49889.130000000005</v>
      </c>
      <c r="M101" s="39"/>
    </row>
    <row r="102" spans="1:13" ht="32.25" customHeight="1">
      <c r="A102" s="95" t="s">
        <v>144</v>
      </c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39"/>
    </row>
    <row r="103" spans="1:13" ht="32.25" customHeight="1">
      <c r="A103" s="26" t="s">
        <v>0</v>
      </c>
      <c r="B103" s="27" t="s">
        <v>1</v>
      </c>
      <c r="C103" s="27" t="s">
        <v>2</v>
      </c>
      <c r="D103" s="26" t="s">
        <v>13</v>
      </c>
      <c r="E103" s="27" t="s">
        <v>3</v>
      </c>
      <c r="F103" s="26" t="s">
        <v>28</v>
      </c>
      <c r="G103" s="26" t="s">
        <v>4</v>
      </c>
      <c r="H103" s="26" t="s">
        <v>6</v>
      </c>
      <c r="I103" s="26" t="s">
        <v>5</v>
      </c>
      <c r="J103" s="26" t="s">
        <v>31</v>
      </c>
      <c r="K103" s="26" t="s">
        <v>30</v>
      </c>
      <c r="L103" s="26" t="s">
        <v>29</v>
      </c>
      <c r="M103" s="39"/>
    </row>
    <row r="104" spans="1:13" ht="32.25" customHeight="1">
      <c r="A104" s="81">
        <v>52</v>
      </c>
      <c r="B104" s="35" t="s">
        <v>145</v>
      </c>
      <c r="C104" s="35" t="s">
        <v>135</v>
      </c>
      <c r="D104" s="81" t="s">
        <v>14</v>
      </c>
      <c r="E104" s="81" t="s">
        <v>56</v>
      </c>
      <c r="F104" s="74">
        <v>25000</v>
      </c>
      <c r="G104" s="74">
        <v>717.5</v>
      </c>
      <c r="H104" s="74">
        <v>0</v>
      </c>
      <c r="I104" s="74">
        <v>760</v>
      </c>
      <c r="J104" s="82">
        <v>325</v>
      </c>
      <c r="K104" s="74">
        <f t="shared" ref="K104:K109" si="17">G104+H104+I104+J104</f>
        <v>1802.5</v>
      </c>
      <c r="L104" s="83">
        <f t="shared" ref="L104:L122" si="18">F104-K104</f>
        <v>23197.5</v>
      </c>
      <c r="M104" s="39"/>
    </row>
    <row r="105" spans="1:13" ht="32.25" customHeight="1">
      <c r="A105" s="81">
        <v>53</v>
      </c>
      <c r="B105" s="35" t="s">
        <v>146</v>
      </c>
      <c r="C105" s="35" t="s">
        <v>62</v>
      </c>
      <c r="D105" s="81" t="s">
        <v>15</v>
      </c>
      <c r="E105" s="81" t="s">
        <v>43</v>
      </c>
      <c r="F105" s="74">
        <v>22000</v>
      </c>
      <c r="G105" s="74">
        <v>631.4</v>
      </c>
      <c r="H105" s="74">
        <v>0</v>
      </c>
      <c r="I105" s="74">
        <v>668.8</v>
      </c>
      <c r="J105" s="74">
        <v>3430.46</v>
      </c>
      <c r="K105" s="74">
        <f t="shared" si="17"/>
        <v>4730.66</v>
      </c>
      <c r="L105" s="83">
        <f t="shared" si="18"/>
        <v>17269.34</v>
      </c>
      <c r="M105" s="39"/>
    </row>
    <row r="106" spans="1:13" ht="32.25" customHeight="1">
      <c r="A106" s="81">
        <v>54</v>
      </c>
      <c r="B106" s="35" t="s">
        <v>147</v>
      </c>
      <c r="C106" s="35" t="s">
        <v>148</v>
      </c>
      <c r="D106" s="81" t="s">
        <v>14</v>
      </c>
      <c r="E106" s="81" t="s">
        <v>56</v>
      </c>
      <c r="F106" s="74">
        <v>75000</v>
      </c>
      <c r="G106" s="74">
        <v>2152.5</v>
      </c>
      <c r="H106" s="74">
        <v>6309.35</v>
      </c>
      <c r="I106" s="74">
        <v>2280</v>
      </c>
      <c r="J106" s="74">
        <v>7730.74</v>
      </c>
      <c r="K106" s="74">
        <f t="shared" si="17"/>
        <v>18472.59</v>
      </c>
      <c r="L106" s="83">
        <f t="shared" si="18"/>
        <v>56527.41</v>
      </c>
      <c r="M106" s="39"/>
    </row>
    <row r="107" spans="1:13" ht="32.25" customHeight="1">
      <c r="A107" s="81">
        <v>55</v>
      </c>
      <c r="B107" s="35" t="s">
        <v>149</v>
      </c>
      <c r="C107" s="35" t="s">
        <v>62</v>
      </c>
      <c r="D107" s="81" t="s">
        <v>15</v>
      </c>
      <c r="E107" s="81" t="s">
        <v>150</v>
      </c>
      <c r="F107" s="74">
        <v>24000</v>
      </c>
      <c r="G107" s="74">
        <v>688.8</v>
      </c>
      <c r="H107" s="74">
        <v>0</v>
      </c>
      <c r="I107" s="74">
        <v>729.6</v>
      </c>
      <c r="J107" s="74">
        <v>10593.46</v>
      </c>
      <c r="K107" s="74">
        <f t="shared" si="17"/>
        <v>12011.859999999999</v>
      </c>
      <c r="L107" s="83">
        <f t="shared" si="18"/>
        <v>11988.140000000001</v>
      </c>
      <c r="M107" s="39"/>
    </row>
    <row r="108" spans="1:13" ht="32.25" customHeight="1">
      <c r="A108" s="81">
        <v>56</v>
      </c>
      <c r="B108" s="35" t="s">
        <v>151</v>
      </c>
      <c r="C108" s="35" t="s">
        <v>62</v>
      </c>
      <c r="D108" s="81" t="s">
        <v>15</v>
      </c>
      <c r="E108" s="81" t="s">
        <v>56</v>
      </c>
      <c r="F108" s="74">
        <v>22000</v>
      </c>
      <c r="G108" s="74">
        <v>631.4</v>
      </c>
      <c r="H108" s="74">
        <v>0</v>
      </c>
      <c r="I108" s="74">
        <v>668.8</v>
      </c>
      <c r="J108" s="74">
        <v>5658.5</v>
      </c>
      <c r="K108" s="74">
        <f t="shared" si="17"/>
        <v>6958.7</v>
      </c>
      <c r="L108" s="83">
        <f t="shared" si="18"/>
        <v>15041.3</v>
      </c>
      <c r="M108" s="39"/>
    </row>
    <row r="109" spans="1:13" ht="32.25" customHeight="1">
      <c r="A109" s="81">
        <v>57</v>
      </c>
      <c r="B109" s="35" t="s">
        <v>152</v>
      </c>
      <c r="C109" s="35" t="s">
        <v>62</v>
      </c>
      <c r="D109" s="81" t="s">
        <v>15</v>
      </c>
      <c r="E109" s="81" t="s">
        <v>43</v>
      </c>
      <c r="F109" s="74">
        <v>22000</v>
      </c>
      <c r="G109" s="74">
        <v>631.4</v>
      </c>
      <c r="H109" s="74">
        <v>0</v>
      </c>
      <c r="I109" s="74">
        <v>668.8</v>
      </c>
      <c r="J109" s="74">
        <v>7250.14</v>
      </c>
      <c r="K109" s="74">
        <f t="shared" si="17"/>
        <v>8550.34</v>
      </c>
      <c r="L109" s="83">
        <f t="shared" si="18"/>
        <v>13449.66</v>
      </c>
      <c r="M109" s="39"/>
    </row>
    <row r="110" spans="1:13" ht="32.25" customHeight="1">
      <c r="A110" s="81">
        <v>58</v>
      </c>
      <c r="B110" s="35" t="s">
        <v>153</v>
      </c>
      <c r="C110" s="35" t="s">
        <v>62</v>
      </c>
      <c r="D110" s="81" t="s">
        <v>15</v>
      </c>
      <c r="E110" s="81" t="s">
        <v>43</v>
      </c>
      <c r="F110" s="74">
        <v>22000</v>
      </c>
      <c r="G110" s="74">
        <v>631.4</v>
      </c>
      <c r="H110" s="74">
        <v>0</v>
      </c>
      <c r="I110" s="74">
        <v>668.8</v>
      </c>
      <c r="J110" s="74">
        <v>9873.6200000000008</v>
      </c>
      <c r="K110" s="74">
        <f>G110+H110+J110+I110</f>
        <v>11173.82</v>
      </c>
      <c r="L110" s="83">
        <f t="shared" si="18"/>
        <v>10826.18</v>
      </c>
      <c r="M110" s="39"/>
    </row>
    <row r="111" spans="1:13" ht="32.25" customHeight="1">
      <c r="A111" s="81">
        <v>59</v>
      </c>
      <c r="B111" s="35" t="s">
        <v>154</v>
      </c>
      <c r="C111" s="35" t="s">
        <v>155</v>
      </c>
      <c r="D111" s="81" t="s">
        <v>15</v>
      </c>
      <c r="E111" s="81" t="s">
        <v>56</v>
      </c>
      <c r="F111" s="74">
        <v>22000</v>
      </c>
      <c r="G111" s="74">
        <v>631.4</v>
      </c>
      <c r="H111" s="74">
        <v>0</v>
      </c>
      <c r="I111" s="74">
        <v>668.8</v>
      </c>
      <c r="J111" s="74">
        <v>4845.45</v>
      </c>
      <c r="K111" s="74">
        <f>G111+H111+I111+J111</f>
        <v>6145.65</v>
      </c>
      <c r="L111" s="83">
        <f t="shared" si="18"/>
        <v>15854.35</v>
      </c>
      <c r="M111" s="39"/>
    </row>
    <row r="112" spans="1:13" ht="32.25" customHeight="1">
      <c r="A112" s="81">
        <v>60</v>
      </c>
      <c r="B112" s="35" t="s">
        <v>156</v>
      </c>
      <c r="C112" s="35" t="s">
        <v>157</v>
      </c>
      <c r="D112" s="81" t="s">
        <v>14</v>
      </c>
      <c r="E112" s="81" t="s">
        <v>56</v>
      </c>
      <c r="F112" s="74">
        <v>40000</v>
      </c>
      <c r="G112" s="74">
        <v>1148</v>
      </c>
      <c r="H112" s="74">
        <v>442.65</v>
      </c>
      <c r="I112" s="74">
        <v>1216</v>
      </c>
      <c r="J112" s="74">
        <v>4992.97</v>
      </c>
      <c r="K112" s="74">
        <f>G112+H112+I112+J112</f>
        <v>7799.6200000000008</v>
      </c>
      <c r="L112" s="83">
        <f t="shared" si="18"/>
        <v>32200.379999999997</v>
      </c>
      <c r="M112" s="39"/>
    </row>
    <row r="113" spans="1:13" ht="32.25" customHeight="1">
      <c r="A113" s="81">
        <v>61</v>
      </c>
      <c r="B113" s="35" t="s">
        <v>158</v>
      </c>
      <c r="C113" s="35" t="s">
        <v>159</v>
      </c>
      <c r="D113" s="81" t="s">
        <v>14</v>
      </c>
      <c r="E113" s="81" t="s">
        <v>56</v>
      </c>
      <c r="F113" s="74">
        <v>26000</v>
      </c>
      <c r="G113" s="74">
        <v>746.2</v>
      </c>
      <c r="H113" s="74">
        <v>0</v>
      </c>
      <c r="I113" s="74">
        <v>790.4</v>
      </c>
      <c r="J113" s="74">
        <v>225</v>
      </c>
      <c r="K113" s="74">
        <f>G113+H113+I113+J113</f>
        <v>1761.6</v>
      </c>
      <c r="L113" s="83">
        <f t="shared" si="18"/>
        <v>24238.400000000001</v>
      </c>
      <c r="M113" s="39"/>
    </row>
    <row r="114" spans="1:13" ht="32.25" customHeight="1">
      <c r="A114" s="81">
        <v>62</v>
      </c>
      <c r="B114" s="35" t="s">
        <v>160</v>
      </c>
      <c r="C114" s="35" t="s">
        <v>62</v>
      </c>
      <c r="D114" s="81" t="s">
        <v>14</v>
      </c>
      <c r="E114" s="81" t="s">
        <v>56</v>
      </c>
      <c r="F114" s="74">
        <v>33500</v>
      </c>
      <c r="G114" s="74">
        <v>961.45</v>
      </c>
      <c r="H114" s="74">
        <v>0</v>
      </c>
      <c r="I114" s="74">
        <v>1018.4</v>
      </c>
      <c r="J114" s="74">
        <v>9411.39</v>
      </c>
      <c r="K114" s="74">
        <f>G114+H114+I114+J114</f>
        <v>11391.24</v>
      </c>
      <c r="L114" s="83">
        <f t="shared" si="18"/>
        <v>22108.760000000002</v>
      </c>
      <c r="M114" s="39"/>
    </row>
    <row r="115" spans="1:13" ht="32.25" customHeight="1">
      <c r="A115" s="81">
        <v>63</v>
      </c>
      <c r="B115" s="35" t="s">
        <v>161</v>
      </c>
      <c r="C115" s="35" t="s">
        <v>62</v>
      </c>
      <c r="D115" s="81" t="s">
        <v>14</v>
      </c>
      <c r="E115" s="81" t="s">
        <v>56</v>
      </c>
      <c r="F115" s="74">
        <v>22000</v>
      </c>
      <c r="G115" s="74">
        <v>631.4</v>
      </c>
      <c r="H115" s="74">
        <v>0</v>
      </c>
      <c r="I115" s="74">
        <v>668.8</v>
      </c>
      <c r="J115" s="74">
        <v>1553.49</v>
      </c>
      <c r="K115" s="74">
        <f>G115+H115+I115+J115</f>
        <v>2853.6899999999996</v>
      </c>
      <c r="L115" s="83">
        <f t="shared" si="18"/>
        <v>19146.310000000001</v>
      </c>
      <c r="M115" s="39"/>
    </row>
    <row r="116" spans="1:13" ht="32.25" customHeight="1">
      <c r="A116" s="81">
        <v>64</v>
      </c>
      <c r="B116" s="35" t="s">
        <v>162</v>
      </c>
      <c r="C116" s="35" t="s">
        <v>163</v>
      </c>
      <c r="D116" s="81" t="s">
        <v>14</v>
      </c>
      <c r="E116" s="81" t="s">
        <v>56</v>
      </c>
      <c r="F116" s="74">
        <v>22000</v>
      </c>
      <c r="G116" s="74">
        <v>631.4</v>
      </c>
      <c r="H116" s="74">
        <v>0</v>
      </c>
      <c r="I116" s="74">
        <v>668.8</v>
      </c>
      <c r="J116" s="74">
        <v>6223.2</v>
      </c>
      <c r="K116" s="74">
        <f>G116+H116+J116+I116</f>
        <v>7523.4</v>
      </c>
      <c r="L116" s="83">
        <f t="shared" si="18"/>
        <v>14476.6</v>
      </c>
      <c r="M116" s="39"/>
    </row>
    <row r="117" spans="1:13" ht="32.25" customHeight="1">
      <c r="A117" s="81">
        <v>65</v>
      </c>
      <c r="B117" s="35" t="s">
        <v>164</v>
      </c>
      <c r="C117" s="35" t="s">
        <v>165</v>
      </c>
      <c r="D117" s="81" t="s">
        <v>14</v>
      </c>
      <c r="E117" s="81" t="s">
        <v>56</v>
      </c>
      <c r="F117" s="74">
        <v>24000</v>
      </c>
      <c r="G117" s="74">
        <v>688.8</v>
      </c>
      <c r="H117" s="74">
        <v>0</v>
      </c>
      <c r="I117" s="74">
        <v>729.6</v>
      </c>
      <c r="J117" s="74">
        <v>15892.5</v>
      </c>
      <c r="K117" s="74">
        <f t="shared" ref="K117:K122" si="19">G117+H117+I117+J117</f>
        <v>17310.900000000001</v>
      </c>
      <c r="L117" s="83">
        <f t="shared" si="18"/>
        <v>6689.0999999999985</v>
      </c>
      <c r="M117" s="39"/>
    </row>
    <row r="118" spans="1:13" ht="32.25" customHeight="1">
      <c r="A118" s="81">
        <v>66</v>
      </c>
      <c r="B118" s="35" t="s">
        <v>166</v>
      </c>
      <c r="C118" s="35" t="s">
        <v>165</v>
      </c>
      <c r="D118" s="81" t="s">
        <v>14</v>
      </c>
      <c r="E118" s="81" t="s">
        <v>56</v>
      </c>
      <c r="F118" s="74">
        <v>24000</v>
      </c>
      <c r="G118" s="74">
        <v>688.8</v>
      </c>
      <c r="H118" s="74">
        <v>0</v>
      </c>
      <c r="I118" s="74">
        <v>729.6</v>
      </c>
      <c r="J118" s="74">
        <v>14208.95</v>
      </c>
      <c r="K118" s="74">
        <f t="shared" si="19"/>
        <v>15627.35</v>
      </c>
      <c r="L118" s="83">
        <f t="shared" si="18"/>
        <v>8372.65</v>
      </c>
      <c r="M118" s="39"/>
    </row>
    <row r="119" spans="1:13" ht="32.25" customHeight="1">
      <c r="A119" s="81">
        <v>67</v>
      </c>
      <c r="B119" s="35" t="s">
        <v>167</v>
      </c>
      <c r="C119" s="35" t="s">
        <v>62</v>
      </c>
      <c r="D119" s="81" t="s">
        <v>15</v>
      </c>
      <c r="E119" s="81" t="s">
        <v>56</v>
      </c>
      <c r="F119" s="74">
        <v>18000</v>
      </c>
      <c r="G119" s="74">
        <v>516.6</v>
      </c>
      <c r="H119" s="74">
        <v>0</v>
      </c>
      <c r="I119" s="74">
        <v>547.20000000000005</v>
      </c>
      <c r="J119" s="74">
        <v>2225</v>
      </c>
      <c r="K119" s="74">
        <f t="shared" si="19"/>
        <v>3288.8</v>
      </c>
      <c r="L119" s="83">
        <f t="shared" si="18"/>
        <v>14711.2</v>
      </c>
      <c r="M119" s="39"/>
    </row>
    <row r="120" spans="1:13" ht="32.25" customHeight="1">
      <c r="A120" s="81">
        <v>68</v>
      </c>
      <c r="B120" s="35" t="s">
        <v>168</v>
      </c>
      <c r="C120" s="35" t="s">
        <v>135</v>
      </c>
      <c r="D120" s="81" t="s">
        <v>14</v>
      </c>
      <c r="E120" s="81" t="s">
        <v>56</v>
      </c>
      <c r="F120" s="74">
        <v>26000</v>
      </c>
      <c r="G120" s="74">
        <v>746.2</v>
      </c>
      <c r="H120" s="74">
        <v>0</v>
      </c>
      <c r="I120" s="74">
        <v>790.4</v>
      </c>
      <c r="J120" s="74">
        <v>5353.35</v>
      </c>
      <c r="K120" s="74">
        <f t="shared" si="19"/>
        <v>6889.9500000000007</v>
      </c>
      <c r="L120" s="83">
        <f t="shared" si="18"/>
        <v>19110.05</v>
      </c>
      <c r="M120" s="39"/>
    </row>
    <row r="121" spans="1:13" ht="32.25" customHeight="1">
      <c r="A121" s="81">
        <v>69</v>
      </c>
      <c r="B121" s="35" t="s">
        <v>169</v>
      </c>
      <c r="C121" s="35" t="s">
        <v>135</v>
      </c>
      <c r="D121" s="81" t="s">
        <v>14</v>
      </c>
      <c r="E121" s="81" t="s">
        <v>56</v>
      </c>
      <c r="F121" s="74">
        <v>26000</v>
      </c>
      <c r="G121" s="74">
        <v>746.2</v>
      </c>
      <c r="H121" s="74">
        <v>0</v>
      </c>
      <c r="I121" s="74">
        <v>790.4</v>
      </c>
      <c r="J121" s="74">
        <v>3495.4</v>
      </c>
      <c r="K121" s="74">
        <f t="shared" si="19"/>
        <v>5032</v>
      </c>
      <c r="L121" s="83">
        <f t="shared" si="18"/>
        <v>20968</v>
      </c>
      <c r="M121" s="39"/>
    </row>
    <row r="122" spans="1:13" ht="32.25" customHeight="1">
      <c r="A122" s="81">
        <v>70</v>
      </c>
      <c r="B122" s="35" t="s">
        <v>170</v>
      </c>
      <c r="C122" s="35" t="s">
        <v>135</v>
      </c>
      <c r="D122" s="81" t="s">
        <v>14</v>
      </c>
      <c r="E122" s="81" t="s">
        <v>56</v>
      </c>
      <c r="F122" s="74">
        <v>22000</v>
      </c>
      <c r="G122" s="74">
        <v>631.4</v>
      </c>
      <c r="H122" s="74">
        <v>0</v>
      </c>
      <c r="I122" s="74">
        <v>668.8</v>
      </c>
      <c r="J122" s="74">
        <v>2225</v>
      </c>
      <c r="K122" s="74">
        <f t="shared" si="19"/>
        <v>3525.2</v>
      </c>
      <c r="L122" s="83">
        <f t="shared" si="18"/>
        <v>18474.8</v>
      </c>
      <c r="M122" s="39"/>
    </row>
    <row r="123" spans="1:13" ht="32.25" customHeight="1">
      <c r="A123" s="4" t="s">
        <v>24</v>
      </c>
      <c r="B123" s="5"/>
      <c r="C123" s="5"/>
      <c r="D123" s="6"/>
      <c r="E123" s="4"/>
      <c r="F123" s="71">
        <f t="shared" ref="F123:L123" si="20">SUM(F104:F122)</f>
        <v>517500</v>
      </c>
      <c r="G123" s="71">
        <f t="shared" si="20"/>
        <v>14852.249999999998</v>
      </c>
      <c r="H123" s="71">
        <f t="shared" si="20"/>
        <v>6752</v>
      </c>
      <c r="I123" s="71">
        <f t="shared" si="20"/>
        <v>15732</v>
      </c>
      <c r="J123" s="71">
        <f>SUM(J104:J122)</f>
        <v>115513.62</v>
      </c>
      <c r="K123" s="71">
        <f t="shared" si="20"/>
        <v>152849.87000000002</v>
      </c>
      <c r="L123" s="36">
        <f t="shared" si="20"/>
        <v>364650.13</v>
      </c>
      <c r="M123" s="39"/>
    </row>
    <row r="124" spans="1:13" ht="32.25" customHeight="1">
      <c r="A124" s="95" t="s">
        <v>171</v>
      </c>
      <c r="B124" s="95" t="s">
        <v>95</v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39"/>
    </row>
    <row r="125" spans="1:13" ht="32.25" customHeight="1">
      <c r="A125" s="26" t="s">
        <v>0</v>
      </c>
      <c r="B125" s="27" t="s">
        <v>1</v>
      </c>
      <c r="C125" s="27" t="s">
        <v>2</v>
      </c>
      <c r="D125" s="26" t="s">
        <v>13</v>
      </c>
      <c r="E125" s="27" t="s">
        <v>3</v>
      </c>
      <c r="F125" s="26" t="s">
        <v>28</v>
      </c>
      <c r="G125" s="26" t="s">
        <v>4</v>
      </c>
      <c r="H125" s="26" t="s">
        <v>6</v>
      </c>
      <c r="I125" s="26" t="s">
        <v>5</v>
      </c>
      <c r="J125" s="26" t="s">
        <v>31</v>
      </c>
      <c r="K125" s="26" t="s">
        <v>30</v>
      </c>
      <c r="L125" s="26" t="s">
        <v>29</v>
      </c>
      <c r="M125" s="39"/>
    </row>
    <row r="126" spans="1:13" ht="32.25" customHeight="1">
      <c r="A126" s="30">
        <v>71</v>
      </c>
      <c r="B126" s="29" t="s">
        <v>172</v>
      </c>
      <c r="C126" s="29" t="s">
        <v>9</v>
      </c>
      <c r="D126" s="30" t="s">
        <v>14</v>
      </c>
      <c r="E126" s="30" t="s">
        <v>56</v>
      </c>
      <c r="F126" s="8">
        <f>37000+3000</f>
        <v>40000</v>
      </c>
      <c r="G126" s="8">
        <f>1061.9+86.1</f>
        <v>1148</v>
      </c>
      <c r="H126" s="10">
        <f>423.41+19.24</f>
        <v>442.65000000000003</v>
      </c>
      <c r="I126" s="32">
        <f>1124.8+91.2</f>
        <v>1216</v>
      </c>
      <c r="J126" s="8">
        <v>27236.3</v>
      </c>
      <c r="K126" s="8">
        <f>G126+H126+I126+J126</f>
        <v>30042.95</v>
      </c>
      <c r="L126" s="8">
        <f>+F126-K126</f>
        <v>9957.0499999999993</v>
      </c>
      <c r="M126" s="39"/>
    </row>
    <row r="127" spans="1:13" ht="32.25" customHeight="1">
      <c r="A127" s="4" t="s">
        <v>24</v>
      </c>
      <c r="B127" s="7"/>
      <c r="C127" s="7"/>
      <c r="D127" s="6"/>
      <c r="E127" s="4"/>
      <c r="F127" s="36">
        <f t="shared" ref="F127:L127" si="21">+SUM(F126)</f>
        <v>40000</v>
      </c>
      <c r="G127" s="36">
        <f t="shared" si="21"/>
        <v>1148</v>
      </c>
      <c r="H127" s="36">
        <f t="shared" si="21"/>
        <v>442.65000000000003</v>
      </c>
      <c r="I127" s="36">
        <f t="shared" si="21"/>
        <v>1216</v>
      </c>
      <c r="J127" s="36">
        <f t="shared" si="21"/>
        <v>27236.3</v>
      </c>
      <c r="K127" s="36">
        <f t="shared" si="21"/>
        <v>30042.95</v>
      </c>
      <c r="L127" s="36">
        <f t="shared" si="21"/>
        <v>9957.0499999999993</v>
      </c>
      <c r="M127" s="39"/>
    </row>
    <row r="128" spans="1:13" ht="32.25" customHeight="1">
      <c r="A128" s="95" t="s">
        <v>173</v>
      </c>
      <c r="B128" s="95" t="s">
        <v>95</v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39"/>
    </row>
    <row r="129" spans="1:13" ht="32.25" customHeight="1">
      <c r="A129" s="40" t="s">
        <v>0</v>
      </c>
      <c r="B129" s="41" t="s">
        <v>1</v>
      </c>
      <c r="C129" s="41" t="s">
        <v>2</v>
      </c>
      <c r="D129" s="40" t="s">
        <v>13</v>
      </c>
      <c r="E129" s="41" t="s">
        <v>3</v>
      </c>
      <c r="F129" s="40" t="s">
        <v>28</v>
      </c>
      <c r="G129" s="40" t="s">
        <v>4</v>
      </c>
      <c r="H129" s="40" t="s">
        <v>6</v>
      </c>
      <c r="I129" s="40" t="s">
        <v>5</v>
      </c>
      <c r="J129" s="40" t="s">
        <v>31</v>
      </c>
      <c r="K129" s="40" t="s">
        <v>30</v>
      </c>
      <c r="L129" s="40" t="s">
        <v>29</v>
      </c>
      <c r="M129" s="39"/>
    </row>
    <row r="130" spans="1:13" ht="32.25" customHeight="1">
      <c r="A130" s="28">
        <v>72</v>
      </c>
      <c r="B130" s="72" t="s">
        <v>174</v>
      </c>
      <c r="C130" s="29" t="s">
        <v>98</v>
      </c>
      <c r="D130" s="37" t="s">
        <v>15</v>
      </c>
      <c r="E130" s="30" t="s">
        <v>56</v>
      </c>
      <c r="F130" s="8">
        <v>33500</v>
      </c>
      <c r="G130" s="31">
        <v>961.45</v>
      </c>
      <c r="H130" s="10">
        <v>0</v>
      </c>
      <c r="I130" s="32">
        <v>1018.4</v>
      </c>
      <c r="J130" s="8">
        <v>7755.58</v>
      </c>
      <c r="K130" s="8">
        <f>G130+H130+I130+J130</f>
        <v>9735.43</v>
      </c>
      <c r="L130" s="31">
        <f>F130-K130</f>
        <v>23764.57</v>
      </c>
      <c r="M130" s="39"/>
    </row>
    <row r="131" spans="1:13" ht="32.25" customHeight="1">
      <c r="A131" s="28">
        <v>73</v>
      </c>
      <c r="B131" s="79" t="s">
        <v>175</v>
      </c>
      <c r="C131" s="79" t="s">
        <v>139</v>
      </c>
      <c r="D131" s="30" t="s">
        <v>15</v>
      </c>
      <c r="E131" s="30" t="s">
        <v>56</v>
      </c>
      <c r="F131" s="8">
        <v>33500</v>
      </c>
      <c r="G131" s="31">
        <v>961.45</v>
      </c>
      <c r="H131" s="10">
        <v>0</v>
      </c>
      <c r="I131" s="32">
        <v>1018.4</v>
      </c>
      <c r="J131" s="8">
        <v>739.5</v>
      </c>
      <c r="K131" s="8">
        <f>SUM(G131:J131)</f>
        <v>2719.35</v>
      </c>
      <c r="L131" s="31">
        <f>F131-K131</f>
        <v>30780.65</v>
      </c>
      <c r="M131" s="39"/>
    </row>
    <row r="132" spans="1:13" ht="32.25" customHeight="1">
      <c r="A132" s="28">
        <v>74</v>
      </c>
      <c r="B132" s="29" t="s">
        <v>194</v>
      </c>
      <c r="C132" s="29" t="s">
        <v>193</v>
      </c>
      <c r="D132" s="30" t="s">
        <v>15</v>
      </c>
      <c r="E132" s="30" t="s">
        <v>56</v>
      </c>
      <c r="F132" s="31">
        <v>37000</v>
      </c>
      <c r="G132" s="31">
        <v>1061.9000000000001</v>
      </c>
      <c r="H132" s="31">
        <v>19.239999999999998</v>
      </c>
      <c r="I132" s="31">
        <v>1124.8</v>
      </c>
      <c r="J132" s="31">
        <v>25</v>
      </c>
      <c r="K132" s="31">
        <f>J132+I132+H132+G132</f>
        <v>2230.94</v>
      </c>
      <c r="L132" s="8">
        <f>F132-K132</f>
        <v>34769.06</v>
      </c>
      <c r="M132" s="39"/>
    </row>
    <row r="133" spans="1:13" ht="32.25" customHeight="1">
      <c r="A133" s="4" t="s">
        <v>24</v>
      </c>
      <c r="B133" s="79"/>
      <c r="C133" s="79"/>
      <c r="D133" s="30"/>
      <c r="E133" s="30"/>
      <c r="F133" s="9">
        <f>SUM(F130:F132)</f>
        <v>104000</v>
      </c>
      <c r="G133" s="80">
        <f t="shared" ref="G133:L133" si="22">SUM(G130:G132)</f>
        <v>2984.8</v>
      </c>
      <c r="H133" s="36">
        <f t="shared" si="22"/>
        <v>19.239999999999998</v>
      </c>
      <c r="I133" s="9">
        <f t="shared" si="22"/>
        <v>3161.6</v>
      </c>
      <c r="J133" s="9">
        <f t="shared" si="22"/>
        <v>8520.08</v>
      </c>
      <c r="K133" s="9">
        <f t="shared" si="22"/>
        <v>14685.720000000001</v>
      </c>
      <c r="L133" s="9">
        <f t="shared" si="22"/>
        <v>89314.28</v>
      </c>
      <c r="M133" s="39"/>
    </row>
    <row r="134" spans="1:13" ht="32.25" customHeight="1">
      <c r="A134" s="41" t="s">
        <v>38</v>
      </c>
      <c r="B134" s="41" t="s">
        <v>176</v>
      </c>
      <c r="C134" s="41" t="s">
        <v>16</v>
      </c>
      <c r="D134" s="41" t="s">
        <v>177</v>
      </c>
      <c r="E134" s="41" t="s">
        <v>18</v>
      </c>
      <c r="F134" s="41" t="s">
        <v>178</v>
      </c>
      <c r="G134" s="41" t="s">
        <v>179</v>
      </c>
      <c r="H134" s="41" t="s">
        <v>11</v>
      </c>
      <c r="I134" s="41" t="s">
        <v>180</v>
      </c>
      <c r="J134" s="41" t="s">
        <v>181</v>
      </c>
      <c r="K134" s="41"/>
      <c r="L134" s="41"/>
      <c r="M134" s="39"/>
    </row>
    <row r="135" spans="1:13" ht="32.25" customHeight="1">
      <c r="A135" s="95" t="s">
        <v>182</v>
      </c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39"/>
    </row>
    <row r="136" spans="1:13" ht="32.25" customHeight="1">
      <c r="A136" s="26" t="s">
        <v>0</v>
      </c>
      <c r="B136" s="27" t="s">
        <v>1</v>
      </c>
      <c r="C136" s="27" t="s">
        <v>2</v>
      </c>
      <c r="D136" s="26" t="s">
        <v>13</v>
      </c>
      <c r="E136" s="27" t="s">
        <v>3</v>
      </c>
      <c r="F136" s="26" t="s">
        <v>28</v>
      </c>
      <c r="G136" s="26" t="s">
        <v>4</v>
      </c>
      <c r="H136" s="26" t="s">
        <v>6</v>
      </c>
      <c r="I136" s="26" t="s">
        <v>5</v>
      </c>
      <c r="J136" s="26" t="s">
        <v>31</v>
      </c>
      <c r="K136" s="26" t="s">
        <v>30</v>
      </c>
      <c r="L136" s="26" t="s">
        <v>29</v>
      </c>
      <c r="M136" s="39"/>
    </row>
    <row r="137" spans="1:13" ht="32.25" customHeight="1">
      <c r="A137" s="28">
        <v>75</v>
      </c>
      <c r="B137" s="29" t="s">
        <v>183</v>
      </c>
      <c r="C137" s="29" t="s">
        <v>184</v>
      </c>
      <c r="D137" s="30" t="s">
        <v>15</v>
      </c>
      <c r="E137" s="30" t="s">
        <v>43</v>
      </c>
      <c r="F137" s="31">
        <v>122500</v>
      </c>
      <c r="G137" s="31">
        <v>3515.75</v>
      </c>
      <c r="H137" s="31">
        <v>17398</v>
      </c>
      <c r="I137" s="31">
        <v>3724</v>
      </c>
      <c r="J137" s="31">
        <v>5242.04</v>
      </c>
      <c r="K137" s="31">
        <f>J137+I137+H137+G137</f>
        <v>29879.79</v>
      </c>
      <c r="L137" s="31">
        <f>F137-K137</f>
        <v>92620.209999999992</v>
      </c>
      <c r="M137" s="39"/>
    </row>
    <row r="138" spans="1:13" ht="32.25" customHeight="1">
      <c r="A138" s="28">
        <v>76</v>
      </c>
      <c r="B138" s="29" t="s">
        <v>185</v>
      </c>
      <c r="C138" s="29" t="s">
        <v>32</v>
      </c>
      <c r="D138" s="30" t="s">
        <v>15</v>
      </c>
      <c r="E138" s="30" t="s">
        <v>43</v>
      </c>
      <c r="F138" s="31">
        <v>60000</v>
      </c>
      <c r="G138" s="31">
        <v>1722</v>
      </c>
      <c r="H138" s="31">
        <v>3486.65</v>
      </c>
      <c r="I138" s="31">
        <v>1824</v>
      </c>
      <c r="J138" s="31">
        <v>1525</v>
      </c>
      <c r="K138" s="31">
        <f>J138+I138+H138+G138</f>
        <v>8557.65</v>
      </c>
      <c r="L138" s="31">
        <f>F138-K138</f>
        <v>51442.35</v>
      </c>
      <c r="M138" s="39"/>
    </row>
    <row r="139" spans="1:13" ht="39" customHeight="1">
      <c r="A139" s="28">
        <v>77</v>
      </c>
      <c r="B139" s="29" t="s">
        <v>186</v>
      </c>
      <c r="C139" s="29" t="s">
        <v>187</v>
      </c>
      <c r="D139" s="30" t="s">
        <v>15</v>
      </c>
      <c r="E139" s="30" t="s">
        <v>43</v>
      </c>
      <c r="F139" s="31">
        <v>60000</v>
      </c>
      <c r="G139" s="31">
        <v>1722</v>
      </c>
      <c r="H139" s="31">
        <v>3486.65</v>
      </c>
      <c r="I139" s="31">
        <v>1824</v>
      </c>
      <c r="J139" s="31">
        <v>6834.12</v>
      </c>
      <c r="K139" s="31">
        <f>J139+I139+H139+G139</f>
        <v>13866.769999999999</v>
      </c>
      <c r="L139" s="31">
        <f>F139-K139</f>
        <v>46133.23</v>
      </c>
      <c r="M139" s="39"/>
    </row>
    <row r="140" spans="1:13" ht="32.25" customHeight="1">
      <c r="A140" s="28">
        <v>78</v>
      </c>
      <c r="B140" s="29" t="s">
        <v>188</v>
      </c>
      <c r="C140" s="29" t="s">
        <v>98</v>
      </c>
      <c r="D140" s="30" t="s">
        <v>15</v>
      </c>
      <c r="E140" s="30" t="s">
        <v>56</v>
      </c>
      <c r="F140" s="31">
        <v>35000</v>
      </c>
      <c r="G140" s="31">
        <v>1004.5</v>
      </c>
      <c r="H140" s="31">
        <v>0</v>
      </c>
      <c r="I140" s="31">
        <v>1064</v>
      </c>
      <c r="J140" s="31">
        <v>7801.12</v>
      </c>
      <c r="K140" s="31">
        <f>J140+I140+H140+G140</f>
        <v>9869.619999999999</v>
      </c>
      <c r="L140" s="31">
        <f>F140-K140</f>
        <v>25130.38</v>
      </c>
      <c r="M140" s="39"/>
    </row>
    <row r="141" spans="1:13" ht="32.25" customHeight="1">
      <c r="A141" s="28">
        <v>79</v>
      </c>
      <c r="B141" s="29" t="s">
        <v>189</v>
      </c>
      <c r="C141" s="29" t="s">
        <v>190</v>
      </c>
      <c r="D141" s="30" t="s">
        <v>14</v>
      </c>
      <c r="E141" s="30" t="s">
        <v>56</v>
      </c>
      <c r="F141" s="8">
        <f>37000+7000</f>
        <v>44000</v>
      </c>
      <c r="G141" s="31">
        <f>200.9+1061.9</f>
        <v>1262.8000000000002</v>
      </c>
      <c r="H141" s="8">
        <f>19.24+987.95</f>
        <v>1007.19</v>
      </c>
      <c r="I141" s="31">
        <f>212.8+1124.8</f>
        <v>1337.6</v>
      </c>
      <c r="J141" s="8">
        <v>4501.3100000000004</v>
      </c>
      <c r="K141" s="8">
        <f>G141+H141+I141+J141</f>
        <v>8108.9000000000005</v>
      </c>
      <c r="L141" s="32">
        <f>F141-K141</f>
        <v>35891.1</v>
      </c>
      <c r="M141" s="39"/>
    </row>
    <row r="142" spans="1:13" ht="32.25" customHeight="1">
      <c r="A142" s="4" t="s">
        <v>24</v>
      </c>
      <c r="B142" s="7"/>
      <c r="C142" s="7"/>
      <c r="D142" s="6"/>
      <c r="E142" s="4"/>
      <c r="F142" s="36">
        <f t="shared" ref="F142:L142" si="23">SUM(F137:F141)</f>
        <v>321500</v>
      </c>
      <c r="G142" s="36">
        <f t="shared" si="23"/>
        <v>9227.0499999999993</v>
      </c>
      <c r="H142" s="36">
        <f t="shared" si="23"/>
        <v>25378.49</v>
      </c>
      <c r="I142" s="36">
        <f t="shared" si="23"/>
        <v>9773.6</v>
      </c>
      <c r="J142" s="36">
        <f t="shared" si="23"/>
        <v>25903.59</v>
      </c>
      <c r="K142" s="36">
        <f t="shared" si="23"/>
        <v>70282.73</v>
      </c>
      <c r="L142" s="36">
        <f t="shared" si="23"/>
        <v>251217.27000000002</v>
      </c>
      <c r="M142" s="39"/>
    </row>
    <row r="143" spans="1:13" ht="32.25" customHeight="1">
      <c r="A143" s="4"/>
      <c r="B143" s="7"/>
      <c r="C143" s="7"/>
      <c r="D143" s="6"/>
      <c r="E143" s="4"/>
      <c r="F143" s="36"/>
      <c r="G143" s="36"/>
      <c r="H143" s="36"/>
      <c r="I143" s="36"/>
      <c r="J143" s="36"/>
      <c r="K143" s="36"/>
      <c r="L143" s="36"/>
      <c r="M143" s="39"/>
    </row>
    <row r="144" spans="1:13" ht="32.25" customHeight="1">
      <c r="A144" s="4"/>
      <c r="B144" s="7"/>
      <c r="C144" s="7"/>
      <c r="D144" s="6"/>
      <c r="E144" s="4"/>
      <c r="F144" s="36"/>
      <c r="G144" s="36"/>
      <c r="H144" s="36"/>
      <c r="I144" s="36"/>
      <c r="J144" s="36"/>
      <c r="K144" s="36"/>
      <c r="L144" s="36"/>
      <c r="M144" s="39"/>
    </row>
    <row r="145" spans="1:13" ht="32.25" customHeight="1">
      <c r="A145" s="95" t="s">
        <v>191</v>
      </c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39"/>
    </row>
    <row r="146" spans="1:13" ht="32.25" customHeight="1">
      <c r="A146" s="26" t="s">
        <v>0</v>
      </c>
      <c r="B146" s="27" t="s">
        <v>1</v>
      </c>
      <c r="C146" s="27" t="s">
        <v>2</v>
      </c>
      <c r="D146" s="26" t="s">
        <v>13</v>
      </c>
      <c r="E146" s="27" t="s">
        <v>3</v>
      </c>
      <c r="F146" s="26" t="s">
        <v>28</v>
      </c>
      <c r="G146" s="26" t="s">
        <v>4</v>
      </c>
      <c r="H146" s="26" t="s">
        <v>6</v>
      </c>
      <c r="I146" s="26" t="s">
        <v>5</v>
      </c>
      <c r="J146" s="26" t="s">
        <v>31</v>
      </c>
      <c r="K146" s="26" t="s">
        <v>30</v>
      </c>
      <c r="L146" s="26" t="s">
        <v>29</v>
      </c>
      <c r="M146" s="39"/>
    </row>
    <row r="147" spans="1:13" ht="32.25" customHeight="1">
      <c r="A147" s="28">
        <v>80</v>
      </c>
      <c r="B147" s="29" t="s">
        <v>192</v>
      </c>
      <c r="C147" s="29" t="s">
        <v>193</v>
      </c>
      <c r="D147" s="30" t="s">
        <v>14</v>
      </c>
      <c r="E147" s="30" t="s">
        <v>56</v>
      </c>
      <c r="F147" s="31">
        <f>35000+13000</f>
        <v>48000</v>
      </c>
      <c r="G147" s="31">
        <f>1004.5+373.1</f>
        <v>1377.6</v>
      </c>
      <c r="H147" s="31">
        <v>0</v>
      </c>
      <c r="I147" s="31">
        <f>395.2+1064</f>
        <v>1459.2</v>
      </c>
      <c r="J147" s="31">
        <v>4164.5600000000004</v>
      </c>
      <c r="K147" s="31">
        <f>SUM(G147:J147)</f>
        <v>7001.3600000000006</v>
      </c>
      <c r="L147" s="21">
        <f>F147-K147</f>
        <v>40998.639999999999</v>
      </c>
      <c r="M147" s="39"/>
    </row>
    <row r="148" spans="1:13" ht="32.25" customHeight="1">
      <c r="A148" s="28">
        <v>81</v>
      </c>
      <c r="B148" s="29" t="s">
        <v>195</v>
      </c>
      <c r="C148" s="29" t="s">
        <v>114</v>
      </c>
      <c r="D148" s="30" t="s">
        <v>14</v>
      </c>
      <c r="E148" s="30" t="s">
        <v>56</v>
      </c>
      <c r="F148" s="31">
        <v>33500</v>
      </c>
      <c r="G148" s="31">
        <v>961.45</v>
      </c>
      <c r="H148" s="31">
        <v>0</v>
      </c>
      <c r="I148" s="31">
        <v>1018.4</v>
      </c>
      <c r="J148" s="31">
        <v>25</v>
      </c>
      <c r="K148" s="8">
        <f>G148+H148+I148+J148</f>
        <v>2004.85</v>
      </c>
      <c r="L148" s="31">
        <f t="shared" ref="L148:L151" si="24">F148-K148</f>
        <v>31495.15</v>
      </c>
      <c r="M148" s="39"/>
    </row>
    <row r="149" spans="1:13" ht="32.25" customHeight="1">
      <c r="A149" s="28">
        <v>82</v>
      </c>
      <c r="B149" s="29" t="s">
        <v>196</v>
      </c>
      <c r="C149" s="29" t="s">
        <v>12</v>
      </c>
      <c r="D149" s="30" t="s">
        <v>15</v>
      </c>
      <c r="E149" s="30" t="s">
        <v>43</v>
      </c>
      <c r="F149" s="8">
        <v>60000</v>
      </c>
      <c r="G149" s="31">
        <v>1722</v>
      </c>
      <c r="H149" s="31">
        <v>0</v>
      </c>
      <c r="I149" s="31">
        <v>1824</v>
      </c>
      <c r="J149" s="8">
        <v>10715.26</v>
      </c>
      <c r="K149" s="8">
        <f>G149+H149+I149+J149</f>
        <v>14261.26</v>
      </c>
      <c r="L149" s="31">
        <f t="shared" si="24"/>
        <v>45738.74</v>
      </c>
      <c r="M149" s="39"/>
    </row>
    <row r="150" spans="1:13" ht="32.25" customHeight="1">
      <c r="A150" s="28">
        <v>83</v>
      </c>
      <c r="B150" s="29" t="s">
        <v>197</v>
      </c>
      <c r="C150" s="29" t="s">
        <v>198</v>
      </c>
      <c r="D150" s="30" t="s">
        <v>15</v>
      </c>
      <c r="E150" s="30" t="s">
        <v>43</v>
      </c>
      <c r="F150" s="31">
        <f>73000+49500</f>
        <v>122500</v>
      </c>
      <c r="G150" s="31">
        <f>2095.1+1420.65</f>
        <v>3515.75</v>
      </c>
      <c r="H150" s="31">
        <f>5932.99+11465.01</f>
        <v>17398</v>
      </c>
      <c r="I150" s="31">
        <f>2219.2+1504.8</f>
        <v>3724</v>
      </c>
      <c r="J150" s="31">
        <v>13623.71</v>
      </c>
      <c r="K150" s="8">
        <f>SUM(G150:J150)</f>
        <v>38261.46</v>
      </c>
      <c r="L150" s="31">
        <f>F150-K150</f>
        <v>84238.540000000008</v>
      </c>
      <c r="M150" s="39"/>
    </row>
    <row r="151" spans="1:13" ht="32.25" customHeight="1">
      <c r="A151" s="28">
        <v>84</v>
      </c>
      <c r="B151" s="78" t="s">
        <v>199</v>
      </c>
      <c r="C151" s="75" t="s">
        <v>114</v>
      </c>
      <c r="D151" s="76" t="s">
        <v>15</v>
      </c>
      <c r="E151" s="30" t="s">
        <v>56</v>
      </c>
      <c r="F151" s="31">
        <v>35000</v>
      </c>
      <c r="G151" s="31">
        <v>1004.5</v>
      </c>
      <c r="H151" s="31">
        <v>0</v>
      </c>
      <c r="I151" s="31">
        <v>1064</v>
      </c>
      <c r="J151" s="31">
        <v>4915.3500000000004</v>
      </c>
      <c r="K151" s="8">
        <f>J151+I151+H151+G151</f>
        <v>6983.85</v>
      </c>
      <c r="L151" s="31">
        <f t="shared" si="24"/>
        <v>28016.15</v>
      </c>
      <c r="M151" s="39"/>
    </row>
    <row r="152" spans="1:13" ht="32.25" customHeight="1">
      <c r="A152" s="4" t="s">
        <v>24</v>
      </c>
      <c r="B152" s="75"/>
      <c r="C152" s="75"/>
      <c r="D152" s="76"/>
      <c r="E152" s="77"/>
      <c r="F152" s="36">
        <f t="shared" ref="F152:L152" si="25">SUM(F147:F151)</f>
        <v>299000</v>
      </c>
      <c r="G152" s="36">
        <f t="shared" si="25"/>
        <v>8581.2999999999993</v>
      </c>
      <c r="H152" s="36">
        <f t="shared" si="25"/>
        <v>17398</v>
      </c>
      <c r="I152" s="36">
        <f t="shared" si="25"/>
        <v>9089.6</v>
      </c>
      <c r="J152" s="36">
        <f t="shared" si="25"/>
        <v>33443.879999999997</v>
      </c>
      <c r="K152" s="36">
        <f t="shared" si="25"/>
        <v>68512.78</v>
      </c>
      <c r="L152" s="36">
        <f t="shared" si="25"/>
        <v>230487.22</v>
      </c>
      <c r="M152" s="39"/>
    </row>
    <row r="153" spans="1:13" ht="32.25" customHeight="1">
      <c r="A153" s="95" t="s">
        <v>200</v>
      </c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39"/>
    </row>
    <row r="154" spans="1:13" ht="32.25" customHeight="1">
      <c r="A154" s="26" t="s">
        <v>0</v>
      </c>
      <c r="B154" s="27" t="s">
        <v>1</v>
      </c>
      <c r="C154" s="27" t="s">
        <v>2</v>
      </c>
      <c r="D154" s="26" t="s">
        <v>13</v>
      </c>
      <c r="E154" s="27" t="s">
        <v>3</v>
      </c>
      <c r="F154" s="26" t="s">
        <v>28</v>
      </c>
      <c r="G154" s="26" t="s">
        <v>4</v>
      </c>
      <c r="H154" s="26" t="s">
        <v>6</v>
      </c>
      <c r="I154" s="26" t="s">
        <v>5</v>
      </c>
      <c r="J154" s="26" t="s">
        <v>31</v>
      </c>
      <c r="K154" s="26" t="s">
        <v>30</v>
      </c>
      <c r="L154" s="26" t="s">
        <v>29</v>
      </c>
      <c r="M154" s="39"/>
    </row>
    <row r="155" spans="1:13" ht="43.5" customHeight="1">
      <c r="A155" s="30">
        <v>85</v>
      </c>
      <c r="B155" s="34" t="s">
        <v>201</v>
      </c>
      <c r="C155" s="34" t="s">
        <v>202</v>
      </c>
      <c r="D155" s="30" t="s">
        <v>15</v>
      </c>
      <c r="E155" s="33" t="s">
        <v>43</v>
      </c>
      <c r="F155" s="31">
        <v>60000</v>
      </c>
      <c r="G155" s="31">
        <f>F155*0.0287</f>
        <v>1722</v>
      </c>
      <c r="H155" s="31">
        <v>3102.69</v>
      </c>
      <c r="I155" s="31">
        <f>IF(F155&lt;75829.93,F155*0.0304,2305.23)</f>
        <v>1824</v>
      </c>
      <c r="J155" s="31">
        <v>3504.78</v>
      </c>
      <c r="K155" s="31">
        <f>G155+H155+I155+J155</f>
        <v>10153.470000000001</v>
      </c>
      <c r="L155" s="31">
        <f>+F155-K155</f>
        <v>49846.53</v>
      </c>
      <c r="M155" s="39"/>
    </row>
    <row r="156" spans="1:13" ht="48" customHeight="1">
      <c r="A156" s="30">
        <v>86</v>
      </c>
      <c r="B156" s="29" t="s">
        <v>203</v>
      </c>
      <c r="C156" s="29" t="s">
        <v>204</v>
      </c>
      <c r="D156" s="30" t="s">
        <v>15</v>
      </c>
      <c r="E156" s="30" t="s">
        <v>43</v>
      </c>
      <c r="F156" s="8">
        <v>65000</v>
      </c>
      <c r="G156" s="8">
        <f>F156*0.0287</f>
        <v>1865.5</v>
      </c>
      <c r="H156" s="31">
        <v>4427.55</v>
      </c>
      <c r="I156" s="8">
        <v>1976</v>
      </c>
      <c r="J156" s="8">
        <v>225</v>
      </c>
      <c r="K156" s="8">
        <f>+G156+I156+H156+J156</f>
        <v>8494.0499999999993</v>
      </c>
      <c r="L156" s="8">
        <f>+F156-K156</f>
        <v>56505.95</v>
      </c>
      <c r="M156" s="39"/>
    </row>
    <row r="157" spans="1:13" ht="32.25" customHeight="1">
      <c r="A157" s="30">
        <v>87</v>
      </c>
      <c r="B157" s="29" t="s">
        <v>205</v>
      </c>
      <c r="C157" s="29" t="s">
        <v>114</v>
      </c>
      <c r="D157" s="30" t="s">
        <v>15</v>
      </c>
      <c r="E157" s="30" t="s">
        <v>56</v>
      </c>
      <c r="F157" s="31">
        <v>37000</v>
      </c>
      <c r="G157" s="31">
        <f>F157*0.0287</f>
        <v>1061.9000000000001</v>
      </c>
      <c r="H157" s="31">
        <v>19.239999999999998</v>
      </c>
      <c r="I157" s="31">
        <f>IF(F157&lt;75829.93,F157*0.0304,2305.23)</f>
        <v>1124.8</v>
      </c>
      <c r="J157" s="31">
        <v>1225</v>
      </c>
      <c r="K157" s="8">
        <f>+G157+I157+H157+J157</f>
        <v>3430.9399999999996</v>
      </c>
      <c r="L157" s="31">
        <f>+F157-K157</f>
        <v>33569.06</v>
      </c>
      <c r="M157" s="39"/>
    </row>
    <row r="158" spans="1:13" ht="32.25" customHeight="1">
      <c r="A158" s="4" t="s">
        <v>24</v>
      </c>
      <c r="B158" s="75"/>
      <c r="C158" s="75"/>
      <c r="D158" s="76"/>
      <c r="E158" s="77"/>
      <c r="F158" s="36">
        <f t="shared" ref="F158:J158" si="26">SUM(F155:F157)</f>
        <v>162000</v>
      </c>
      <c r="G158" s="18">
        <f t="shared" si="26"/>
        <v>4649.3999999999996</v>
      </c>
      <c r="H158" s="36">
        <f t="shared" si="26"/>
        <v>7549.48</v>
      </c>
      <c r="I158" s="36">
        <f t="shared" si="26"/>
        <v>4924.8</v>
      </c>
      <c r="J158" s="36">
        <f t="shared" si="26"/>
        <v>4954.7800000000007</v>
      </c>
      <c r="K158" s="36">
        <f>J158+I158+H158+G158</f>
        <v>22078.46</v>
      </c>
      <c r="L158" s="36">
        <f>F158-K158</f>
        <v>139921.54</v>
      </c>
    </row>
    <row r="159" spans="1:13" ht="32.25" customHeight="1">
      <c r="A159" s="95" t="s">
        <v>206</v>
      </c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39"/>
    </row>
    <row r="160" spans="1:13" ht="32.25" customHeight="1">
      <c r="A160" s="26" t="s">
        <v>0</v>
      </c>
      <c r="B160" s="27" t="s">
        <v>1</v>
      </c>
      <c r="C160" s="27" t="s">
        <v>2</v>
      </c>
      <c r="D160" s="26" t="s">
        <v>13</v>
      </c>
      <c r="E160" s="27" t="s">
        <v>3</v>
      </c>
      <c r="F160" s="26" t="s">
        <v>28</v>
      </c>
      <c r="G160" s="26" t="s">
        <v>4</v>
      </c>
      <c r="H160" s="26" t="s">
        <v>6</v>
      </c>
      <c r="I160" s="26" t="s">
        <v>5</v>
      </c>
      <c r="J160" s="26" t="s">
        <v>31</v>
      </c>
      <c r="K160" s="26" t="s">
        <v>30</v>
      </c>
      <c r="L160" s="26" t="s">
        <v>29</v>
      </c>
      <c r="M160" s="39"/>
    </row>
    <row r="161" spans="1:13" ht="32.25" customHeight="1">
      <c r="A161" s="38" t="s">
        <v>260</v>
      </c>
      <c r="B161" s="29" t="s">
        <v>207</v>
      </c>
      <c r="C161" s="29" t="s">
        <v>12</v>
      </c>
      <c r="D161" s="30" t="s">
        <v>15</v>
      </c>
      <c r="E161" s="30" t="s">
        <v>43</v>
      </c>
      <c r="F161" s="73">
        <v>60000</v>
      </c>
      <c r="G161" s="73">
        <v>1722</v>
      </c>
      <c r="H161" s="73">
        <v>3486.65</v>
      </c>
      <c r="I161" s="73">
        <v>1824</v>
      </c>
      <c r="J161" s="73">
        <v>325</v>
      </c>
      <c r="K161" s="73">
        <f>J161+I161+H161+G161</f>
        <v>7357.65</v>
      </c>
      <c r="L161" s="73">
        <f t="shared" ref="L161" si="27">F161-K161</f>
        <v>52642.35</v>
      </c>
      <c r="M161" s="39"/>
    </row>
    <row r="162" spans="1:13" ht="32.25" customHeight="1">
      <c r="A162" s="38" t="s">
        <v>258</v>
      </c>
      <c r="B162" s="29" t="s">
        <v>208</v>
      </c>
      <c r="C162" s="29" t="s">
        <v>12</v>
      </c>
      <c r="D162" s="30" t="s">
        <v>14</v>
      </c>
      <c r="E162" s="30" t="s">
        <v>43</v>
      </c>
      <c r="F162" s="73">
        <v>60000</v>
      </c>
      <c r="G162" s="73">
        <v>1722</v>
      </c>
      <c r="H162" s="73">
        <v>2718.74</v>
      </c>
      <c r="I162" s="73">
        <v>1824</v>
      </c>
      <c r="J162" s="73">
        <v>16210.28</v>
      </c>
      <c r="K162" s="73">
        <f>G162+J162+I162+H162</f>
        <v>22475.019999999997</v>
      </c>
      <c r="L162" s="73">
        <f t="shared" ref="L162:L171" si="28">F162-K162</f>
        <v>37524.980000000003</v>
      </c>
      <c r="M162" s="39"/>
    </row>
    <row r="163" spans="1:13" ht="32.25" customHeight="1">
      <c r="A163" s="38" t="s">
        <v>259</v>
      </c>
      <c r="B163" s="29" t="s">
        <v>209</v>
      </c>
      <c r="C163" s="29" t="s">
        <v>210</v>
      </c>
      <c r="D163" s="30" t="s">
        <v>15</v>
      </c>
      <c r="E163" s="30" t="s">
        <v>43</v>
      </c>
      <c r="F163" s="73">
        <v>33500</v>
      </c>
      <c r="G163" s="73">
        <v>961.45</v>
      </c>
      <c r="H163" s="73">
        <v>0</v>
      </c>
      <c r="I163" s="73">
        <v>1018.4</v>
      </c>
      <c r="J163" s="73">
        <v>3964.56</v>
      </c>
      <c r="K163" s="73">
        <f t="shared" ref="K163:K169" si="29">J163+I163+H163+G163</f>
        <v>5944.41</v>
      </c>
      <c r="L163" s="73">
        <f t="shared" si="28"/>
        <v>27555.59</v>
      </c>
      <c r="M163" s="39"/>
    </row>
    <row r="164" spans="1:13" ht="32.25" customHeight="1">
      <c r="A164" s="38" t="s">
        <v>249</v>
      </c>
      <c r="B164" s="29" t="s">
        <v>211</v>
      </c>
      <c r="C164" s="29" t="s">
        <v>12</v>
      </c>
      <c r="D164" s="30" t="s">
        <v>15</v>
      </c>
      <c r="E164" s="30" t="s">
        <v>56</v>
      </c>
      <c r="F164" s="73">
        <v>60000</v>
      </c>
      <c r="G164" s="73">
        <v>1722</v>
      </c>
      <c r="H164" s="73">
        <v>2718.74</v>
      </c>
      <c r="I164" s="73">
        <v>1824</v>
      </c>
      <c r="J164" s="73">
        <v>12853.18</v>
      </c>
      <c r="K164" s="73">
        <f t="shared" si="29"/>
        <v>19117.919999999998</v>
      </c>
      <c r="L164" s="73">
        <f t="shared" si="28"/>
        <v>40882.080000000002</v>
      </c>
      <c r="M164" s="39"/>
    </row>
    <row r="165" spans="1:13" ht="32.25" customHeight="1">
      <c r="A165" s="38" t="s">
        <v>250</v>
      </c>
      <c r="B165" s="29" t="s">
        <v>212</v>
      </c>
      <c r="C165" s="29" t="s">
        <v>12</v>
      </c>
      <c r="D165" s="30" t="s">
        <v>14</v>
      </c>
      <c r="E165" s="30" t="s">
        <v>56</v>
      </c>
      <c r="F165" s="73">
        <v>60000</v>
      </c>
      <c r="G165" s="73">
        <v>1722</v>
      </c>
      <c r="H165" s="73">
        <v>3486.65</v>
      </c>
      <c r="I165" s="73">
        <v>1824</v>
      </c>
      <c r="J165" s="73">
        <v>1525</v>
      </c>
      <c r="K165" s="73">
        <f t="shared" si="29"/>
        <v>8557.65</v>
      </c>
      <c r="L165" s="73">
        <f t="shared" si="28"/>
        <v>51442.35</v>
      </c>
      <c r="M165" s="39"/>
    </row>
    <row r="166" spans="1:13" ht="32.25" customHeight="1">
      <c r="A166" s="38" t="s">
        <v>251</v>
      </c>
      <c r="B166" s="35" t="s">
        <v>213</v>
      </c>
      <c r="C166" s="29" t="s">
        <v>214</v>
      </c>
      <c r="D166" s="30" t="s">
        <v>14</v>
      </c>
      <c r="E166" s="30" t="s">
        <v>56</v>
      </c>
      <c r="F166" s="73">
        <f>55000+67500</f>
        <v>122500</v>
      </c>
      <c r="G166" s="73">
        <f>1578+1937.75</f>
        <v>3515.75</v>
      </c>
      <c r="H166" s="73">
        <f>2559.67+14838.33</f>
        <v>17398</v>
      </c>
      <c r="I166" s="73">
        <f>1672+2052</f>
        <v>3724</v>
      </c>
      <c r="J166" s="73">
        <v>37552.480000000003</v>
      </c>
      <c r="K166" s="73">
        <f>J166+I166+H166+G166</f>
        <v>62190.23</v>
      </c>
      <c r="L166" s="73">
        <f t="shared" si="28"/>
        <v>60309.77</v>
      </c>
      <c r="M166" s="39"/>
    </row>
    <row r="167" spans="1:13" ht="32.25" customHeight="1">
      <c r="A167" s="38" t="s">
        <v>252</v>
      </c>
      <c r="B167" s="29" t="s">
        <v>215</v>
      </c>
      <c r="C167" s="29" t="s">
        <v>216</v>
      </c>
      <c r="D167" s="30" t="s">
        <v>14</v>
      </c>
      <c r="E167" s="30" t="s">
        <v>56</v>
      </c>
      <c r="F167" s="73">
        <v>35000</v>
      </c>
      <c r="G167" s="73">
        <v>1004.5</v>
      </c>
      <c r="H167" s="73">
        <v>0</v>
      </c>
      <c r="I167" s="73">
        <v>1064</v>
      </c>
      <c r="J167" s="73">
        <v>25</v>
      </c>
      <c r="K167" s="73">
        <f t="shared" si="29"/>
        <v>2093.5</v>
      </c>
      <c r="L167" s="73">
        <f t="shared" si="28"/>
        <v>32906.5</v>
      </c>
      <c r="M167" s="39"/>
    </row>
    <row r="168" spans="1:13" ht="32.25" customHeight="1">
      <c r="A168" s="38" t="s">
        <v>253</v>
      </c>
      <c r="B168" s="29" t="s">
        <v>217</v>
      </c>
      <c r="C168" s="29" t="s">
        <v>114</v>
      </c>
      <c r="D168" s="30" t="s">
        <v>15</v>
      </c>
      <c r="E168" s="30" t="s">
        <v>56</v>
      </c>
      <c r="F168" s="74">
        <v>35000</v>
      </c>
      <c r="G168" s="73">
        <v>1004.5</v>
      </c>
      <c r="H168" s="73">
        <v>0</v>
      </c>
      <c r="I168" s="73">
        <v>1064</v>
      </c>
      <c r="J168" s="73">
        <v>725</v>
      </c>
      <c r="K168" s="73">
        <f t="shared" si="29"/>
        <v>2793.5</v>
      </c>
      <c r="L168" s="73">
        <f t="shared" si="28"/>
        <v>32206.5</v>
      </c>
      <c r="M168" s="39"/>
    </row>
    <row r="169" spans="1:13" ht="32.25" customHeight="1">
      <c r="A169" s="38" t="s">
        <v>254</v>
      </c>
      <c r="B169" s="29" t="s">
        <v>218</v>
      </c>
      <c r="C169" s="29" t="s">
        <v>12</v>
      </c>
      <c r="D169" s="30" t="s">
        <v>14</v>
      </c>
      <c r="E169" s="30" t="s">
        <v>43</v>
      </c>
      <c r="F169" s="31">
        <v>60000</v>
      </c>
      <c r="G169" s="31">
        <v>1722</v>
      </c>
      <c r="H169" s="31">
        <v>3102.69</v>
      </c>
      <c r="I169" s="31">
        <v>1824</v>
      </c>
      <c r="J169" s="31">
        <v>2244.7800000000002</v>
      </c>
      <c r="K169" s="31">
        <f t="shared" si="29"/>
        <v>8893.4700000000012</v>
      </c>
      <c r="L169" s="31">
        <f t="shared" si="28"/>
        <v>51106.53</v>
      </c>
      <c r="M169" s="39"/>
    </row>
    <row r="170" spans="1:13" ht="32.25" customHeight="1">
      <c r="A170" s="38" t="s">
        <v>255</v>
      </c>
      <c r="B170" s="29" t="s">
        <v>132</v>
      </c>
      <c r="C170" s="29" t="s">
        <v>131</v>
      </c>
      <c r="D170" s="37" t="s">
        <v>15</v>
      </c>
      <c r="E170" s="30" t="s">
        <v>56</v>
      </c>
      <c r="F170" s="32">
        <v>37000</v>
      </c>
      <c r="G170" s="32">
        <v>1061.9000000000001</v>
      </c>
      <c r="H170" s="32">
        <v>19.239999999999998</v>
      </c>
      <c r="I170" s="32">
        <v>1124.8</v>
      </c>
      <c r="J170" s="32">
        <v>9771.59</v>
      </c>
      <c r="K170" s="32">
        <f>G170+H170+I170+J170</f>
        <v>11977.53</v>
      </c>
      <c r="L170" s="32">
        <f t="shared" si="28"/>
        <v>25022.47</v>
      </c>
      <c r="M170" s="39"/>
    </row>
    <row r="171" spans="1:13" ht="32.25" customHeight="1">
      <c r="A171" s="38" t="s">
        <v>256</v>
      </c>
      <c r="B171" s="29" t="s">
        <v>248</v>
      </c>
      <c r="C171" s="29" t="s">
        <v>114</v>
      </c>
      <c r="D171" s="37" t="s">
        <v>15</v>
      </c>
      <c r="E171" s="30" t="s">
        <v>56</v>
      </c>
      <c r="F171" s="32">
        <v>33500</v>
      </c>
      <c r="G171" s="32">
        <v>961.45</v>
      </c>
      <c r="H171" s="32">
        <v>0</v>
      </c>
      <c r="I171" s="32">
        <v>1018.4</v>
      </c>
      <c r="J171" s="32">
        <v>25</v>
      </c>
      <c r="K171" s="32">
        <f>G171+H171+I171+J171</f>
        <v>2004.85</v>
      </c>
      <c r="L171" s="32">
        <f t="shared" si="28"/>
        <v>31495.15</v>
      </c>
      <c r="M171" s="25"/>
    </row>
    <row r="172" spans="1:13" ht="32.25" customHeight="1">
      <c r="A172" s="42" t="s">
        <v>24</v>
      </c>
      <c r="B172" s="43"/>
      <c r="C172" s="43"/>
      <c r="D172" s="44"/>
      <c r="E172" s="42"/>
      <c r="F172" s="45">
        <f t="shared" ref="F172:L172" si="30">SUM(F161:F171)</f>
        <v>596500</v>
      </c>
      <c r="G172" s="17">
        <f t="shared" si="30"/>
        <v>17119.55</v>
      </c>
      <c r="H172" s="45">
        <f t="shared" si="30"/>
        <v>32930.71</v>
      </c>
      <c r="I172" s="45">
        <f t="shared" si="30"/>
        <v>18133.600000000002</v>
      </c>
      <c r="J172" s="45">
        <f t="shared" si="30"/>
        <v>85221.87</v>
      </c>
      <c r="K172" s="45">
        <f t="shared" si="30"/>
        <v>153405.73000000001</v>
      </c>
      <c r="L172" s="45">
        <f t="shared" si="30"/>
        <v>443094.27</v>
      </c>
      <c r="M172" s="39"/>
    </row>
    <row r="173" spans="1:13" ht="32.25" customHeight="1">
      <c r="A173" s="98" t="s">
        <v>219</v>
      </c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39"/>
    </row>
    <row r="174" spans="1:13" ht="32.25" customHeight="1">
      <c r="A174" s="46" t="s">
        <v>0</v>
      </c>
      <c r="B174" s="47" t="s">
        <v>1</v>
      </c>
      <c r="C174" s="47" t="s">
        <v>2</v>
      </c>
      <c r="D174" s="46" t="s">
        <v>13</v>
      </c>
      <c r="E174" s="47" t="s">
        <v>3</v>
      </c>
      <c r="F174" s="46" t="s">
        <v>28</v>
      </c>
      <c r="G174" s="46" t="s">
        <v>4</v>
      </c>
      <c r="H174" s="46" t="s">
        <v>6</v>
      </c>
      <c r="I174" s="46" t="s">
        <v>5</v>
      </c>
      <c r="J174" s="46" t="s">
        <v>31</v>
      </c>
      <c r="K174" s="46" t="s">
        <v>30</v>
      </c>
      <c r="L174" s="46" t="s">
        <v>29</v>
      </c>
      <c r="M174" s="39"/>
    </row>
    <row r="175" spans="1:13" ht="32.25" customHeight="1">
      <c r="A175" s="30">
        <v>99</v>
      </c>
      <c r="B175" s="29" t="s">
        <v>220</v>
      </c>
      <c r="C175" s="29" t="s">
        <v>114</v>
      </c>
      <c r="D175" s="30" t="s">
        <v>14</v>
      </c>
      <c r="E175" s="30" t="s">
        <v>56</v>
      </c>
      <c r="F175" s="32">
        <v>37000</v>
      </c>
      <c r="G175" s="32">
        <v>1061.9000000000001</v>
      </c>
      <c r="H175" s="32">
        <v>19.239999999999998</v>
      </c>
      <c r="I175" s="32">
        <v>1124.8</v>
      </c>
      <c r="J175" s="32">
        <v>3412.86</v>
      </c>
      <c r="K175" s="32">
        <f>J175+I175+H175+G175</f>
        <v>5618.7999999999993</v>
      </c>
      <c r="L175" s="32">
        <f t="shared" ref="L175:L180" si="31">F175-K175</f>
        <v>31381.200000000001</v>
      </c>
      <c r="M175" s="39"/>
    </row>
    <row r="176" spans="1:13" ht="32.25" customHeight="1">
      <c r="A176" s="30">
        <v>100</v>
      </c>
      <c r="B176" s="29" t="s">
        <v>221</v>
      </c>
      <c r="C176" s="29" t="s">
        <v>131</v>
      </c>
      <c r="D176" s="37" t="s">
        <v>15</v>
      </c>
      <c r="E176" s="30" t="s">
        <v>56</v>
      </c>
      <c r="F176" s="32">
        <v>30000</v>
      </c>
      <c r="G176" s="32">
        <v>861</v>
      </c>
      <c r="H176" s="32">
        <v>0</v>
      </c>
      <c r="I176" s="32">
        <v>912</v>
      </c>
      <c r="J176" s="32">
        <v>6297.41</v>
      </c>
      <c r="K176" s="32">
        <f>J176+I176+H176+G176</f>
        <v>8070.41</v>
      </c>
      <c r="L176" s="32">
        <f t="shared" si="31"/>
        <v>21929.59</v>
      </c>
      <c r="M176" s="39"/>
    </row>
    <row r="177" spans="1:13" ht="32.25" customHeight="1">
      <c r="A177" s="30">
        <v>101</v>
      </c>
      <c r="B177" s="29" t="s">
        <v>222</v>
      </c>
      <c r="C177" s="29" t="s">
        <v>114</v>
      </c>
      <c r="D177" s="37" t="s">
        <v>14</v>
      </c>
      <c r="E177" s="30" t="s">
        <v>56</v>
      </c>
      <c r="F177" s="32">
        <v>37000</v>
      </c>
      <c r="G177" s="32">
        <v>1061.9000000000001</v>
      </c>
      <c r="H177" s="32">
        <v>19.239999999999998</v>
      </c>
      <c r="I177" s="32">
        <v>1124.8</v>
      </c>
      <c r="J177" s="32">
        <v>2025</v>
      </c>
      <c r="K177" s="32">
        <f>G177+H177+I177+J177</f>
        <v>4230.9400000000005</v>
      </c>
      <c r="L177" s="32">
        <f t="shared" si="31"/>
        <v>32769.06</v>
      </c>
      <c r="M177" s="39"/>
    </row>
    <row r="178" spans="1:13" ht="32.25" customHeight="1">
      <c r="A178" s="30">
        <v>102</v>
      </c>
      <c r="B178" s="29" t="s">
        <v>223</v>
      </c>
      <c r="C178" s="29" t="s">
        <v>114</v>
      </c>
      <c r="D178" s="37" t="s">
        <v>15</v>
      </c>
      <c r="E178" s="30" t="s">
        <v>56</v>
      </c>
      <c r="F178" s="32">
        <v>33500</v>
      </c>
      <c r="G178" s="32">
        <v>961.45</v>
      </c>
      <c r="H178" s="32">
        <v>0</v>
      </c>
      <c r="I178" s="32">
        <v>1018.4</v>
      </c>
      <c r="J178" s="32">
        <v>2647.78</v>
      </c>
      <c r="K178" s="32">
        <f>G178+H178+I178+J178</f>
        <v>4627.63</v>
      </c>
      <c r="L178" s="32">
        <f>F178-K178</f>
        <v>28872.37</v>
      </c>
      <c r="M178" s="39"/>
    </row>
    <row r="179" spans="1:13" ht="32.25" customHeight="1">
      <c r="A179" s="30">
        <v>103</v>
      </c>
      <c r="B179" s="29" t="s">
        <v>224</v>
      </c>
      <c r="C179" s="29" t="s">
        <v>225</v>
      </c>
      <c r="D179" s="37" t="s">
        <v>15</v>
      </c>
      <c r="E179" s="30" t="s">
        <v>56</v>
      </c>
      <c r="F179" s="32">
        <v>70000</v>
      </c>
      <c r="G179" s="32">
        <v>2009</v>
      </c>
      <c r="H179" s="32">
        <v>1259.6300000000001</v>
      </c>
      <c r="I179" s="32">
        <v>2128</v>
      </c>
      <c r="J179" s="32">
        <v>1944.78</v>
      </c>
      <c r="K179" s="32">
        <f>J179+I179+H179+G179</f>
        <v>7341.41</v>
      </c>
      <c r="L179" s="32">
        <f t="shared" si="31"/>
        <v>62658.59</v>
      </c>
      <c r="M179" s="39"/>
    </row>
    <row r="180" spans="1:13" ht="32.25" customHeight="1">
      <c r="A180" s="30">
        <v>104</v>
      </c>
      <c r="B180" s="72" t="s">
        <v>226</v>
      </c>
      <c r="C180" s="29" t="s">
        <v>227</v>
      </c>
      <c r="D180" s="37" t="s">
        <v>15</v>
      </c>
      <c r="E180" s="30" t="s">
        <v>56</v>
      </c>
      <c r="F180" s="32">
        <v>55000</v>
      </c>
      <c r="G180" s="32">
        <v>1578.5</v>
      </c>
      <c r="H180" s="32">
        <v>2559.67</v>
      </c>
      <c r="I180" s="32">
        <v>1672</v>
      </c>
      <c r="J180" s="32">
        <v>25</v>
      </c>
      <c r="K180" s="32">
        <f>G180+H180+I180+J180</f>
        <v>5835.17</v>
      </c>
      <c r="L180" s="32">
        <f t="shared" si="31"/>
        <v>49164.83</v>
      </c>
      <c r="M180" s="39"/>
    </row>
    <row r="181" spans="1:13" ht="32.25" customHeight="1">
      <c r="A181" s="30">
        <v>105</v>
      </c>
      <c r="B181" s="35" t="s">
        <v>130</v>
      </c>
      <c r="C181" s="29" t="s">
        <v>131</v>
      </c>
      <c r="D181" s="37" t="s">
        <v>15</v>
      </c>
      <c r="E181" s="30" t="s">
        <v>43</v>
      </c>
      <c r="F181" s="32">
        <v>37000</v>
      </c>
      <c r="G181" s="32">
        <v>1061.9000000000001</v>
      </c>
      <c r="H181" s="32">
        <v>0</v>
      </c>
      <c r="I181" s="32">
        <v>1124.8</v>
      </c>
      <c r="J181" s="32">
        <v>9974.15</v>
      </c>
      <c r="K181" s="32">
        <f>G181+H181+I181+J181</f>
        <v>12160.849999999999</v>
      </c>
      <c r="L181" s="32">
        <f>F181-K181</f>
        <v>24839.15</v>
      </c>
      <c r="M181" s="25"/>
    </row>
    <row r="182" spans="1:13" ht="32.25" customHeight="1">
      <c r="A182" s="42" t="s">
        <v>24</v>
      </c>
      <c r="B182" s="48"/>
      <c r="C182" s="48"/>
      <c r="D182" s="44"/>
      <c r="E182" s="42"/>
      <c r="F182" s="71">
        <f t="shared" ref="F182:L182" si="32">SUM(F175:F181)</f>
        <v>299500</v>
      </c>
      <c r="G182" s="19">
        <f t="shared" si="32"/>
        <v>8595.65</v>
      </c>
      <c r="H182" s="71">
        <f t="shared" si="32"/>
        <v>3857.78</v>
      </c>
      <c r="I182" s="71">
        <f t="shared" si="32"/>
        <v>9104.7999999999993</v>
      </c>
      <c r="J182" s="71">
        <f t="shared" si="32"/>
        <v>26326.980000000003</v>
      </c>
      <c r="K182" s="71">
        <f t="shared" si="32"/>
        <v>47885.21</v>
      </c>
      <c r="L182" s="71">
        <f t="shared" si="32"/>
        <v>251614.79</v>
      </c>
      <c r="M182" s="39"/>
    </row>
    <row r="183" spans="1:13" ht="32.25" customHeight="1">
      <c r="A183" s="95" t="s">
        <v>228</v>
      </c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39"/>
    </row>
    <row r="184" spans="1:13" ht="32.25" customHeight="1">
      <c r="A184" s="26" t="s">
        <v>0</v>
      </c>
      <c r="B184" s="27" t="s">
        <v>1</v>
      </c>
      <c r="C184" s="27" t="s">
        <v>2</v>
      </c>
      <c r="D184" s="26" t="s">
        <v>13</v>
      </c>
      <c r="E184" s="27" t="s">
        <v>3</v>
      </c>
      <c r="F184" s="26" t="s">
        <v>28</v>
      </c>
      <c r="G184" s="26" t="s">
        <v>4</v>
      </c>
      <c r="H184" s="26" t="s">
        <v>6</v>
      </c>
      <c r="I184" s="26" t="s">
        <v>5</v>
      </c>
      <c r="J184" s="26" t="s">
        <v>31</v>
      </c>
      <c r="K184" s="26" t="s">
        <v>30</v>
      </c>
      <c r="L184" s="26" t="s">
        <v>29</v>
      </c>
      <c r="M184" s="39"/>
    </row>
    <row r="185" spans="1:13" ht="32.25" customHeight="1">
      <c r="A185" s="30">
        <v>106</v>
      </c>
      <c r="B185" s="34" t="s">
        <v>229</v>
      </c>
      <c r="C185" s="29" t="s">
        <v>193</v>
      </c>
      <c r="D185" s="30" t="s">
        <v>14</v>
      </c>
      <c r="E185" s="30" t="s">
        <v>43</v>
      </c>
      <c r="F185" s="31">
        <v>37000</v>
      </c>
      <c r="G185" s="31">
        <v>1061.9000000000001</v>
      </c>
      <c r="H185" s="31">
        <v>0</v>
      </c>
      <c r="I185" s="8">
        <v>1124.8</v>
      </c>
      <c r="J185" s="31">
        <v>5208.28</v>
      </c>
      <c r="K185" s="31">
        <f>G185+I185+H185+J185</f>
        <v>7394.98</v>
      </c>
      <c r="L185" s="8">
        <f>+F185-K185</f>
        <v>29605.02</v>
      </c>
      <c r="M185" s="39"/>
    </row>
    <row r="186" spans="1:13" ht="32.25" customHeight="1">
      <c r="A186" s="30">
        <v>107</v>
      </c>
      <c r="B186" s="29" t="s">
        <v>230</v>
      </c>
      <c r="C186" s="29" t="s">
        <v>231</v>
      </c>
      <c r="D186" s="30" t="s">
        <v>14</v>
      </c>
      <c r="E186" s="30" t="s">
        <v>56</v>
      </c>
      <c r="F186" s="8">
        <f>30000+71500</f>
        <v>101500</v>
      </c>
      <c r="G186" s="8">
        <f>861+2052.05</f>
        <v>2913.05</v>
      </c>
      <c r="H186" s="31">
        <f>12458.27+0</f>
        <v>12458.27</v>
      </c>
      <c r="I186" s="8">
        <f>912+2173</f>
        <v>3085</v>
      </c>
      <c r="J186" s="31">
        <v>225</v>
      </c>
      <c r="K186" s="8">
        <f>SUM(G186:J186)</f>
        <v>18681.32</v>
      </c>
      <c r="L186" s="8">
        <f>F186-K186</f>
        <v>82818.679999999993</v>
      </c>
      <c r="M186" s="39"/>
    </row>
    <row r="187" spans="1:13" ht="32.25" customHeight="1">
      <c r="A187" s="42" t="s">
        <v>24</v>
      </c>
      <c r="B187" s="29"/>
      <c r="C187" s="29"/>
      <c r="D187" s="30"/>
      <c r="E187" s="30"/>
      <c r="F187" s="9">
        <f>SUM(F185:F186)</f>
        <v>138500</v>
      </c>
      <c r="G187" s="9">
        <f>SUM(G185:G186)</f>
        <v>3974.9500000000003</v>
      </c>
      <c r="H187" s="36">
        <f>SUM(H185:H186)</f>
        <v>12458.27</v>
      </c>
      <c r="I187" s="9">
        <f>+SUM(I185:I186)</f>
        <v>4209.8</v>
      </c>
      <c r="J187" s="9">
        <f>SUM(J185:J186)</f>
        <v>5433.28</v>
      </c>
      <c r="K187" s="9">
        <f>SUM(K185:K186)</f>
        <v>26076.3</v>
      </c>
      <c r="L187" s="9">
        <f>SUM(L185:L186)</f>
        <v>112423.7</v>
      </c>
      <c r="M187" s="39"/>
    </row>
    <row r="188" spans="1:13" ht="32.25" customHeight="1">
      <c r="A188" s="95" t="s">
        <v>236</v>
      </c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39"/>
    </row>
    <row r="189" spans="1:13" ht="32.25" customHeight="1">
      <c r="A189" s="26" t="s">
        <v>0</v>
      </c>
      <c r="B189" s="27" t="s">
        <v>1</v>
      </c>
      <c r="C189" s="27" t="s">
        <v>2</v>
      </c>
      <c r="D189" s="26" t="s">
        <v>13</v>
      </c>
      <c r="E189" s="27" t="s">
        <v>3</v>
      </c>
      <c r="F189" s="26" t="s">
        <v>28</v>
      </c>
      <c r="G189" s="26" t="s">
        <v>4</v>
      </c>
      <c r="H189" s="26" t="s">
        <v>6</v>
      </c>
      <c r="I189" s="26" t="s">
        <v>5</v>
      </c>
      <c r="J189" s="26" t="s">
        <v>31</v>
      </c>
      <c r="K189" s="26" t="s">
        <v>30</v>
      </c>
      <c r="L189" s="26" t="s">
        <v>29</v>
      </c>
      <c r="M189" s="39"/>
    </row>
    <row r="190" spans="1:13" ht="67.5" customHeight="1">
      <c r="A190" s="30">
        <v>108</v>
      </c>
      <c r="B190" s="29" t="s">
        <v>232</v>
      </c>
      <c r="C190" s="29" t="s">
        <v>233</v>
      </c>
      <c r="D190" s="37" t="s">
        <v>15</v>
      </c>
      <c r="E190" s="30" t="s">
        <v>56</v>
      </c>
      <c r="F190" s="32">
        <v>101500</v>
      </c>
      <c r="G190" s="32">
        <f>F190*0.0287</f>
        <v>2913.05</v>
      </c>
      <c r="H190" s="32">
        <v>12458.27</v>
      </c>
      <c r="I190" s="32">
        <v>3085.6</v>
      </c>
      <c r="J190" s="32">
        <v>325</v>
      </c>
      <c r="K190" s="32">
        <f>G190+I190+H190+J190</f>
        <v>18781.919999999998</v>
      </c>
      <c r="L190" s="32">
        <f>+F190-K190</f>
        <v>82718.080000000002</v>
      </c>
      <c r="M190" s="39"/>
    </row>
    <row r="191" spans="1:13" ht="48" customHeight="1">
      <c r="A191" s="30">
        <v>109</v>
      </c>
      <c r="B191" s="34" t="s">
        <v>234</v>
      </c>
      <c r="C191" s="29" t="s">
        <v>235</v>
      </c>
      <c r="D191" s="30" t="s">
        <v>15</v>
      </c>
      <c r="E191" s="30" t="s">
        <v>43</v>
      </c>
      <c r="F191" s="31">
        <v>65000</v>
      </c>
      <c r="G191" s="31">
        <f>F191*0.0287</f>
        <v>1865.5</v>
      </c>
      <c r="H191" s="31">
        <v>4043.59</v>
      </c>
      <c r="I191" s="31">
        <f>IF(F191&lt;75829.93,F191*0.0304,2305.23)</f>
        <v>1976</v>
      </c>
      <c r="J191" s="31">
        <v>14570.41</v>
      </c>
      <c r="K191" s="31">
        <f>SUM(G191:J191)</f>
        <v>22455.5</v>
      </c>
      <c r="L191" s="8">
        <f>+F191-K191</f>
        <v>42544.5</v>
      </c>
      <c r="M191" s="39"/>
    </row>
    <row r="192" spans="1:13" ht="32.25" customHeight="1">
      <c r="A192" s="30"/>
      <c r="B192" s="35"/>
      <c r="C192" s="29"/>
      <c r="D192" s="30"/>
      <c r="E192" s="30"/>
      <c r="F192" s="49">
        <f t="shared" ref="F192:L192" si="33">SUM(F190:F191)</f>
        <v>166500</v>
      </c>
      <c r="G192" s="13">
        <f t="shared" si="33"/>
        <v>4778.55</v>
      </c>
      <c r="H192" s="13">
        <f t="shared" si="33"/>
        <v>16501.86</v>
      </c>
      <c r="I192" s="49">
        <f t="shared" si="33"/>
        <v>5061.6000000000004</v>
      </c>
      <c r="J192" s="13">
        <f t="shared" si="33"/>
        <v>14895.41</v>
      </c>
      <c r="K192" s="13">
        <f t="shared" si="33"/>
        <v>41237.42</v>
      </c>
      <c r="L192" s="14">
        <f t="shared" si="33"/>
        <v>125262.58</v>
      </c>
      <c r="M192" s="39"/>
    </row>
    <row r="193" spans="1:13" ht="32.25" customHeight="1">
      <c r="A193" s="48" t="s">
        <v>246</v>
      </c>
      <c r="B193" s="35"/>
      <c r="C193" s="29"/>
      <c r="D193" s="30"/>
      <c r="E193" s="30"/>
      <c r="F193" s="20">
        <v>6436950</v>
      </c>
      <c r="G193" s="13">
        <v>184740.47</v>
      </c>
      <c r="H193" s="13">
        <v>487987.28</v>
      </c>
      <c r="I193" s="49">
        <v>195294.47</v>
      </c>
      <c r="J193" s="13">
        <v>793866.93</v>
      </c>
      <c r="K193" s="13">
        <v>1661889.15</v>
      </c>
      <c r="L193" s="14">
        <f>F193-K193</f>
        <v>4775060.8499999996</v>
      </c>
      <c r="M193" s="39"/>
    </row>
    <row r="194" spans="1:13" ht="32.25" customHeight="1" thickBot="1">
      <c r="A194" s="48" t="s">
        <v>247</v>
      </c>
      <c r="B194" s="35"/>
      <c r="C194" s="29"/>
      <c r="D194" s="30"/>
      <c r="E194" s="30"/>
      <c r="F194" s="50">
        <v>6436950</v>
      </c>
      <c r="G194" s="15">
        <v>184740.47</v>
      </c>
      <c r="H194" s="15">
        <v>487987.28</v>
      </c>
      <c r="I194" s="50">
        <v>195294.47</v>
      </c>
      <c r="J194" s="15">
        <v>793866.93</v>
      </c>
      <c r="K194" s="15">
        <f>G194+H194+I194+J194</f>
        <v>1661889.15</v>
      </c>
      <c r="L194" s="16">
        <f>F194-K194</f>
        <v>4775060.8499999996</v>
      </c>
      <c r="M194" s="39"/>
    </row>
    <row r="195" spans="1:13" ht="32.25" customHeight="1" thickTop="1">
      <c r="A195" s="30"/>
      <c r="B195" s="35"/>
      <c r="C195" s="29"/>
      <c r="D195" s="30"/>
      <c r="E195" s="30"/>
      <c r="F195" s="71"/>
      <c r="G195" s="5"/>
      <c r="H195" s="5"/>
      <c r="I195" s="71"/>
      <c r="J195" s="5"/>
      <c r="K195" s="5"/>
      <c r="L195" s="9"/>
      <c r="M195" s="39"/>
    </row>
    <row r="196" spans="1:13" ht="32.25" customHeight="1">
      <c r="A196" s="30"/>
      <c r="B196" s="35"/>
      <c r="C196" s="29"/>
      <c r="D196" s="30"/>
      <c r="E196" s="30"/>
      <c r="F196" s="32"/>
      <c r="G196" s="3"/>
      <c r="H196" s="10"/>
      <c r="I196" s="32"/>
      <c r="J196" s="3"/>
      <c r="K196" s="3"/>
      <c r="L196" s="8"/>
      <c r="M196" s="39"/>
    </row>
    <row r="197" spans="1:13" ht="32.25" customHeight="1">
      <c r="A197" s="28" t="s">
        <v>21</v>
      </c>
      <c r="B197" s="33"/>
      <c r="C197" s="33"/>
      <c r="D197" s="28"/>
      <c r="E197" s="51" t="s">
        <v>23</v>
      </c>
      <c r="F197" s="51"/>
      <c r="G197" s="51"/>
      <c r="H197" s="51"/>
      <c r="I197" s="52"/>
      <c r="J197" s="96" t="s">
        <v>22</v>
      </c>
      <c r="K197" s="96"/>
      <c r="L197" s="96"/>
      <c r="M197" s="39"/>
    </row>
    <row r="198" spans="1:13" ht="32.25" customHeight="1">
      <c r="A198" s="28"/>
      <c r="B198" s="33"/>
      <c r="C198" s="33"/>
      <c r="D198" s="28"/>
      <c r="E198" s="51"/>
      <c r="F198" s="51"/>
      <c r="G198" s="51"/>
      <c r="H198" s="51"/>
      <c r="I198" s="52"/>
      <c r="J198" s="51"/>
      <c r="K198" s="51"/>
      <c r="L198" s="51"/>
      <c r="M198" s="39"/>
    </row>
    <row r="199" spans="1:13" ht="32.25" customHeight="1">
      <c r="A199" s="53"/>
      <c r="B199" s="33"/>
      <c r="C199" s="33" t="s">
        <v>237</v>
      </c>
      <c r="D199" s="28"/>
      <c r="E199" s="28"/>
      <c r="F199" s="28"/>
      <c r="G199" s="51"/>
      <c r="H199" s="51"/>
      <c r="I199" s="54"/>
      <c r="J199" s="54"/>
      <c r="K199" s="54"/>
      <c r="L199" s="54"/>
      <c r="M199" s="39"/>
    </row>
    <row r="200" spans="1:13" ht="32.25" customHeight="1">
      <c r="A200" s="55" t="s">
        <v>238</v>
      </c>
      <c r="B200" s="33"/>
      <c r="C200" s="33"/>
      <c r="D200" s="28"/>
      <c r="E200" s="55" t="s">
        <v>8</v>
      </c>
      <c r="F200" s="55"/>
      <c r="G200" s="51"/>
      <c r="H200" s="51"/>
      <c r="I200" s="51"/>
      <c r="J200" s="97" t="s">
        <v>35</v>
      </c>
      <c r="K200" s="97"/>
      <c r="L200" s="97"/>
      <c r="M200" s="39"/>
    </row>
    <row r="201" spans="1:13" ht="32.25" customHeight="1">
      <c r="A201" s="28" t="s">
        <v>239</v>
      </c>
      <c r="B201" s="33"/>
      <c r="C201" s="33"/>
      <c r="D201" s="28"/>
      <c r="E201" s="28" t="s">
        <v>25</v>
      </c>
      <c r="F201" s="28"/>
      <c r="G201" s="51"/>
      <c r="H201" s="51"/>
      <c r="I201" s="51"/>
      <c r="J201" s="96" t="s">
        <v>7</v>
      </c>
      <c r="K201" s="96"/>
      <c r="L201" s="96"/>
      <c r="M201" s="39"/>
    </row>
    <row r="202" spans="1:13" ht="32.25" customHeight="1">
      <c r="A202" s="30"/>
      <c r="B202" s="35"/>
      <c r="C202" s="29"/>
      <c r="D202" s="30"/>
      <c r="E202" s="30"/>
      <c r="F202" s="32"/>
      <c r="G202" s="3"/>
      <c r="H202" s="10"/>
      <c r="I202" s="32"/>
      <c r="J202" s="3"/>
      <c r="K202" s="3"/>
      <c r="L202" s="8"/>
      <c r="M202" s="39"/>
    </row>
    <row r="204" spans="1:13" ht="32.25" customHeight="1">
      <c r="A204" s="30"/>
      <c r="B204" s="35"/>
      <c r="C204" s="29"/>
      <c r="D204" s="30"/>
      <c r="E204" s="30"/>
      <c r="F204" s="32"/>
      <c r="G204" s="3"/>
      <c r="H204" s="10"/>
      <c r="I204" s="32"/>
      <c r="J204" s="3"/>
      <c r="K204" s="3"/>
      <c r="L204" s="8"/>
      <c r="M204" s="39"/>
    </row>
    <row r="205" spans="1:13" ht="32.25" customHeight="1">
      <c r="A205" s="30"/>
      <c r="B205" s="35"/>
      <c r="C205" s="29"/>
      <c r="D205" s="30"/>
      <c r="E205" s="30"/>
      <c r="F205" s="32"/>
      <c r="G205" s="3"/>
      <c r="H205" s="10"/>
      <c r="I205" s="32"/>
      <c r="J205" s="3"/>
      <c r="K205" s="3"/>
      <c r="L205" s="8"/>
      <c r="M205" s="39"/>
    </row>
    <row r="206" spans="1:13" ht="32.25" customHeight="1">
      <c r="A206" s="30"/>
      <c r="B206" s="35"/>
      <c r="C206" s="29"/>
      <c r="D206" s="30"/>
      <c r="E206" s="30"/>
      <c r="F206" s="32"/>
      <c r="G206" s="3"/>
      <c r="H206" s="10"/>
      <c r="I206" s="32"/>
      <c r="J206" s="3"/>
      <c r="K206" s="3"/>
      <c r="L206" s="8"/>
      <c r="M206" s="39"/>
    </row>
    <row r="207" spans="1:13" ht="32.25" customHeight="1">
      <c r="A207" s="30"/>
      <c r="B207" s="35"/>
      <c r="C207" s="29"/>
      <c r="D207" s="30"/>
      <c r="E207" s="30"/>
      <c r="F207" s="32"/>
      <c r="G207" s="3"/>
      <c r="H207" s="10"/>
      <c r="I207" s="32"/>
      <c r="J207" s="3"/>
      <c r="K207" s="3"/>
      <c r="L207" s="8"/>
      <c r="M207" s="39"/>
    </row>
    <row r="208" spans="1:13" ht="32.25" customHeight="1">
      <c r="A208" s="30"/>
      <c r="B208" s="35"/>
      <c r="C208" s="29"/>
      <c r="D208" s="30"/>
      <c r="E208" s="30"/>
      <c r="F208" s="32"/>
      <c r="G208" s="3"/>
      <c r="H208" s="10"/>
      <c r="I208" s="32"/>
      <c r="J208" s="3"/>
      <c r="K208" s="3"/>
      <c r="L208" s="8"/>
      <c r="M208" s="39"/>
    </row>
    <row r="209" spans="1:13" ht="32.25" customHeight="1">
      <c r="A209" s="30"/>
      <c r="B209" s="35"/>
      <c r="C209" s="29"/>
      <c r="D209" s="30"/>
      <c r="E209" s="30"/>
      <c r="F209" s="32"/>
      <c r="G209" s="3"/>
      <c r="H209" s="10"/>
      <c r="I209" s="32"/>
      <c r="J209" s="3"/>
      <c r="K209" s="3"/>
      <c r="L209" s="8"/>
      <c r="M209" s="39"/>
    </row>
    <row r="210" spans="1:13" ht="32.25" customHeight="1">
      <c r="A210" s="30"/>
      <c r="B210" s="35"/>
      <c r="C210" s="29"/>
      <c r="D210" s="30"/>
      <c r="E210" s="30"/>
      <c r="F210" s="32"/>
      <c r="G210" s="3"/>
      <c r="H210" s="10"/>
      <c r="I210" s="32"/>
      <c r="J210" s="3"/>
      <c r="K210" s="3"/>
      <c r="L210" s="8"/>
      <c r="M210" s="39"/>
    </row>
    <row r="211" spans="1:13" ht="32.25" customHeight="1">
      <c r="A211" s="30"/>
      <c r="B211" s="56"/>
      <c r="C211" s="11" t="s">
        <v>240</v>
      </c>
      <c r="D211" s="12" t="s">
        <v>4</v>
      </c>
      <c r="E211" s="12" t="s">
        <v>6</v>
      </c>
      <c r="F211" s="11" t="s">
        <v>5</v>
      </c>
      <c r="G211" s="11" t="s">
        <v>241</v>
      </c>
      <c r="H211" s="11" t="s">
        <v>242</v>
      </c>
      <c r="I211" s="11" t="s">
        <v>243</v>
      </c>
      <c r="J211" s="3"/>
      <c r="K211" s="3"/>
      <c r="L211" s="8"/>
      <c r="M211" s="39"/>
    </row>
    <row r="212" spans="1:13" ht="32.25" customHeight="1">
      <c r="A212" s="30"/>
      <c r="B212" s="27" t="s">
        <v>261</v>
      </c>
      <c r="C212" s="22">
        <v>5854450</v>
      </c>
      <c r="D212" s="22">
        <v>168022.72</v>
      </c>
      <c r="E212" s="22">
        <v>385274.46</v>
      </c>
      <c r="F212" s="22">
        <v>177587.07</v>
      </c>
      <c r="G212" s="22">
        <v>793866.93</v>
      </c>
      <c r="H212" s="22">
        <f>D212+E212+F212+G212</f>
        <v>1524751.1800000002</v>
      </c>
      <c r="I212" s="22">
        <f>C212-H212</f>
        <v>4329698.82</v>
      </c>
      <c r="J212" s="3"/>
      <c r="K212" s="3"/>
      <c r="L212" s="8"/>
      <c r="M212" s="39"/>
    </row>
    <row r="213" spans="1:13" ht="32.25" customHeight="1">
      <c r="A213" s="30"/>
      <c r="B213" s="27" t="s">
        <v>262</v>
      </c>
      <c r="C213" s="22">
        <v>338500</v>
      </c>
      <c r="D213" s="22">
        <v>9714.9500000000007</v>
      </c>
      <c r="E213" s="22">
        <v>54153.02</v>
      </c>
      <c r="F213" s="22">
        <v>10290.4</v>
      </c>
      <c r="G213" s="22">
        <v>0</v>
      </c>
      <c r="H213" s="22">
        <f>D213+E213+F213+G213</f>
        <v>74158.37</v>
      </c>
      <c r="I213" s="22">
        <f>C213-H213</f>
        <v>264341.63</v>
      </c>
      <c r="J213" s="3"/>
      <c r="K213" s="3"/>
      <c r="L213" s="8"/>
      <c r="M213" s="39"/>
    </row>
    <row r="214" spans="1:13" ht="32.25" customHeight="1">
      <c r="A214" s="30"/>
      <c r="B214" s="57" t="s">
        <v>244</v>
      </c>
      <c r="C214" s="22">
        <v>244000</v>
      </c>
      <c r="D214" s="22">
        <v>7002.8</v>
      </c>
      <c r="E214" s="22">
        <v>48559.8</v>
      </c>
      <c r="F214" s="22">
        <v>7417.6</v>
      </c>
      <c r="G214" s="22">
        <v>0</v>
      </c>
      <c r="H214" s="22">
        <f>D214+E214+F214+G214</f>
        <v>62980.200000000004</v>
      </c>
      <c r="I214" s="22">
        <f>C214-H214</f>
        <v>181019.8</v>
      </c>
      <c r="J214" s="3"/>
      <c r="K214" s="3"/>
      <c r="L214" s="8"/>
      <c r="M214" s="39"/>
    </row>
    <row r="215" spans="1:13" ht="32.25" customHeight="1">
      <c r="A215" s="30"/>
      <c r="B215" s="58" t="s">
        <v>245</v>
      </c>
      <c r="C215" s="23">
        <f t="shared" ref="C215:I215" si="34">C212+C213+C214</f>
        <v>6436950</v>
      </c>
      <c r="D215" s="23">
        <f t="shared" si="34"/>
        <v>184740.47</v>
      </c>
      <c r="E215" s="23">
        <f t="shared" si="34"/>
        <v>487987.28</v>
      </c>
      <c r="F215" s="23">
        <f t="shared" si="34"/>
        <v>195295.07</v>
      </c>
      <c r="G215" s="23">
        <f t="shared" si="34"/>
        <v>793866.93</v>
      </c>
      <c r="H215" s="23">
        <f t="shared" si="34"/>
        <v>1661889.7500000002</v>
      </c>
      <c r="I215" s="24">
        <f t="shared" si="34"/>
        <v>4775060.25</v>
      </c>
      <c r="J215" s="3"/>
      <c r="K215" s="3"/>
      <c r="L215" s="8"/>
      <c r="M215" s="39"/>
    </row>
    <row r="216" spans="1:13" ht="32.25" customHeight="1">
      <c r="A216" s="30"/>
      <c r="B216" s="59"/>
      <c r="C216" s="60"/>
      <c r="D216" s="60"/>
      <c r="E216" s="60"/>
      <c r="F216" s="60"/>
      <c r="G216" s="60"/>
      <c r="H216" s="60"/>
      <c r="I216" s="61">
        <f>SUM(I212:I214)</f>
        <v>4775060.25</v>
      </c>
      <c r="J216" s="3"/>
      <c r="K216" s="3"/>
      <c r="L216" s="8"/>
      <c r="M216" s="39"/>
    </row>
    <row r="217" spans="1:13" ht="32.25" customHeight="1">
      <c r="A217" s="30"/>
      <c r="B217" s="35"/>
      <c r="C217" s="29"/>
      <c r="D217" s="30"/>
      <c r="E217" s="30"/>
      <c r="F217" s="32"/>
      <c r="G217" s="3"/>
      <c r="H217" s="10"/>
      <c r="I217" s="32"/>
      <c r="J217" s="3"/>
      <c r="K217" s="3"/>
      <c r="L217" s="8"/>
      <c r="M217" s="39"/>
    </row>
    <row r="218" spans="1:13" ht="32.25" customHeight="1">
      <c r="A218" s="30"/>
      <c r="B218" s="35"/>
      <c r="C218" s="29"/>
      <c r="D218" s="30"/>
      <c r="E218" s="30"/>
      <c r="F218" s="32"/>
      <c r="G218" s="3"/>
      <c r="H218" s="10"/>
      <c r="I218" s="32"/>
      <c r="J218" s="3"/>
      <c r="K218" s="3"/>
      <c r="L218" s="8"/>
      <c r="M218" s="39"/>
    </row>
    <row r="219" spans="1:13" ht="32.25" customHeight="1">
      <c r="A219" s="30"/>
      <c r="B219" s="35"/>
      <c r="C219" s="29"/>
      <c r="D219" s="30"/>
      <c r="E219" s="30"/>
      <c r="F219" s="32"/>
      <c r="G219" s="3"/>
      <c r="H219" s="10"/>
      <c r="I219" s="32"/>
      <c r="J219" s="3"/>
      <c r="K219" s="3"/>
      <c r="L219" s="8"/>
      <c r="M219" s="39"/>
    </row>
    <row r="220" spans="1:13" ht="32.25" customHeight="1">
      <c r="A220" s="30"/>
      <c r="B220" s="35"/>
      <c r="C220" s="29"/>
      <c r="D220" s="30"/>
      <c r="E220" s="30"/>
      <c r="F220" s="32"/>
      <c r="G220" s="3"/>
      <c r="H220" s="10"/>
      <c r="I220" s="32"/>
      <c r="J220" s="3"/>
      <c r="K220" s="3"/>
      <c r="L220" s="8"/>
      <c r="M220" s="39"/>
    </row>
    <row r="221" spans="1:13" ht="32.25" customHeight="1">
      <c r="A221" s="30"/>
      <c r="B221" s="35"/>
      <c r="C221" s="29"/>
      <c r="D221" s="30"/>
      <c r="E221" s="30"/>
      <c r="F221" s="32"/>
      <c r="G221" s="3"/>
      <c r="H221" s="10"/>
      <c r="I221" s="32"/>
      <c r="J221" s="3"/>
      <c r="K221" s="3"/>
      <c r="L221" s="8"/>
      <c r="M221" s="39"/>
    </row>
    <row r="222" spans="1:13" ht="32.25" customHeight="1">
      <c r="A222" s="30"/>
      <c r="B222" s="35"/>
      <c r="C222" s="29"/>
      <c r="D222" s="30"/>
      <c r="E222" s="30"/>
      <c r="F222" s="32"/>
      <c r="G222" s="3"/>
      <c r="H222" s="10"/>
      <c r="I222" s="32"/>
      <c r="J222" s="3"/>
      <c r="K222" s="3"/>
      <c r="L222" s="8"/>
      <c r="M222" s="39"/>
    </row>
    <row r="223" spans="1:13" ht="32.25" customHeight="1">
      <c r="A223" s="30"/>
      <c r="B223" s="35"/>
      <c r="C223" s="29"/>
      <c r="D223" s="30"/>
      <c r="E223" s="30"/>
      <c r="F223" s="32"/>
      <c r="G223" s="3"/>
      <c r="H223" s="10"/>
      <c r="I223" s="32"/>
      <c r="J223" s="3"/>
      <c r="K223" s="3"/>
      <c r="L223" s="8"/>
      <c r="M223" s="39"/>
    </row>
    <row r="224" spans="1:13" ht="32.25" customHeight="1">
      <c r="A224" s="30"/>
      <c r="B224" s="35"/>
      <c r="C224" s="29"/>
      <c r="D224" s="30"/>
      <c r="E224" s="30"/>
      <c r="F224" s="32"/>
      <c r="G224" s="3"/>
      <c r="H224" s="10"/>
      <c r="I224" s="32"/>
      <c r="J224" s="3"/>
      <c r="K224" s="3"/>
      <c r="L224" s="8"/>
      <c r="M224" s="39"/>
    </row>
    <row r="225" spans="1:13" ht="32.25" customHeight="1">
      <c r="A225" s="30"/>
      <c r="B225" s="35"/>
      <c r="C225" s="29"/>
      <c r="D225" s="30"/>
      <c r="E225" s="30"/>
      <c r="F225" s="32"/>
      <c r="G225" s="3"/>
      <c r="H225" s="10"/>
      <c r="I225" s="32"/>
      <c r="J225" s="3"/>
      <c r="K225" s="3"/>
      <c r="L225" s="8"/>
      <c r="M225" s="39"/>
    </row>
    <row r="226" spans="1:13" ht="32.25" customHeight="1">
      <c r="A226" s="30"/>
      <c r="B226" s="35"/>
      <c r="C226" s="29"/>
      <c r="D226" s="30"/>
      <c r="E226" s="30"/>
      <c r="F226" s="32"/>
      <c r="G226" s="3"/>
      <c r="H226" s="10"/>
      <c r="I226" s="32"/>
      <c r="J226" s="3"/>
      <c r="K226" s="3"/>
      <c r="L226" s="8"/>
      <c r="M226" s="39"/>
    </row>
    <row r="227" spans="1:13" ht="32.25" customHeight="1">
      <c r="A227" s="30"/>
      <c r="B227" s="35"/>
      <c r="C227" s="29"/>
      <c r="D227" s="30"/>
      <c r="E227" s="30"/>
      <c r="F227" s="32"/>
      <c r="G227" s="3"/>
      <c r="H227" s="10"/>
      <c r="I227" s="32"/>
      <c r="J227" s="3"/>
      <c r="K227" s="3"/>
      <c r="L227" s="8"/>
      <c r="M227" s="39"/>
    </row>
    <row r="228" spans="1:13" ht="32.25" customHeight="1">
      <c r="A228" s="30"/>
      <c r="B228" s="35"/>
      <c r="C228" s="29"/>
      <c r="D228" s="30"/>
      <c r="E228" s="30"/>
      <c r="F228" s="32"/>
      <c r="G228" s="3"/>
      <c r="H228" s="10"/>
      <c r="I228" s="32"/>
      <c r="J228" s="3"/>
      <c r="K228" s="3"/>
      <c r="L228" s="8"/>
      <c r="M228" s="39"/>
    </row>
    <row r="229" spans="1:13" ht="32.25" customHeight="1">
      <c r="A229" s="30"/>
      <c r="B229" s="35"/>
      <c r="C229" s="29"/>
      <c r="D229" s="30"/>
      <c r="E229" s="30"/>
      <c r="F229" s="32"/>
      <c r="G229" s="3"/>
      <c r="H229" s="10"/>
      <c r="I229" s="32"/>
      <c r="J229" s="3"/>
      <c r="K229" s="3"/>
      <c r="L229" s="8"/>
      <c r="M229" s="39"/>
    </row>
    <row r="230" spans="1:13" ht="32.25" customHeight="1">
      <c r="A230" s="30"/>
      <c r="B230" s="35"/>
      <c r="C230" s="29"/>
      <c r="D230" s="30"/>
      <c r="E230" s="30"/>
      <c r="F230" s="32"/>
      <c r="G230" s="3"/>
      <c r="H230" s="10"/>
      <c r="I230" s="32"/>
      <c r="J230" s="3"/>
      <c r="K230" s="3"/>
      <c r="L230" s="8"/>
      <c r="M230" s="39"/>
    </row>
    <row r="231" spans="1:13" ht="32.25" customHeight="1">
      <c r="A231" s="30"/>
      <c r="B231" s="35"/>
      <c r="C231" s="29"/>
      <c r="D231" s="30"/>
      <c r="E231" s="30"/>
      <c r="F231" s="32"/>
      <c r="G231" s="3"/>
      <c r="H231" s="10"/>
      <c r="I231" s="32"/>
      <c r="J231" s="3"/>
      <c r="K231" s="3"/>
      <c r="L231" s="8"/>
      <c r="M231" s="39"/>
    </row>
    <row r="232" spans="1:13" ht="32.25" customHeight="1">
      <c r="A232" s="30"/>
      <c r="B232" s="35"/>
      <c r="C232" s="29"/>
      <c r="D232" s="30"/>
      <c r="E232" s="30"/>
      <c r="F232" s="32"/>
      <c r="G232" s="3"/>
      <c r="H232" s="10"/>
      <c r="I232" s="32"/>
      <c r="J232" s="3"/>
      <c r="K232" s="3"/>
      <c r="L232" s="8"/>
      <c r="M232" s="39"/>
    </row>
    <row r="233" spans="1:13" ht="32.25" customHeight="1">
      <c r="A233" s="30"/>
      <c r="B233" s="35"/>
      <c r="C233" s="29"/>
      <c r="D233" s="30"/>
      <c r="E233" s="30"/>
      <c r="F233" s="32"/>
      <c r="G233" s="3"/>
      <c r="H233" s="10"/>
      <c r="I233" s="32"/>
      <c r="J233" s="3"/>
      <c r="K233" s="3"/>
      <c r="L233" s="8"/>
      <c r="M233" s="39"/>
    </row>
    <row r="234" spans="1:13" ht="32.25" customHeight="1">
      <c r="A234" s="30"/>
      <c r="B234" s="35"/>
      <c r="C234" s="29"/>
      <c r="D234" s="30"/>
      <c r="E234" s="30"/>
      <c r="F234" s="32"/>
      <c r="G234" s="3"/>
      <c r="H234" s="10"/>
      <c r="I234" s="32"/>
      <c r="J234" s="3"/>
      <c r="K234" s="3"/>
      <c r="L234" s="8"/>
      <c r="M234" s="39"/>
    </row>
    <row r="235" spans="1:13" ht="32.25" customHeight="1">
      <c r="A235" s="30"/>
      <c r="B235" s="35"/>
      <c r="C235" s="29"/>
      <c r="D235" s="30"/>
      <c r="E235" s="30"/>
      <c r="F235" s="32"/>
      <c r="G235" s="3"/>
      <c r="H235" s="10"/>
      <c r="I235" s="32"/>
      <c r="J235" s="3"/>
      <c r="K235" s="3"/>
      <c r="L235" s="8"/>
      <c r="M235" s="39"/>
    </row>
    <row r="236" spans="1:13" ht="32.25" customHeight="1">
      <c r="A236" s="30"/>
      <c r="B236" s="35"/>
      <c r="C236" s="29"/>
      <c r="D236" s="30"/>
      <c r="E236" s="30"/>
      <c r="F236" s="32"/>
      <c r="G236" s="3"/>
      <c r="H236" s="10"/>
      <c r="I236" s="32"/>
      <c r="J236" s="3"/>
      <c r="K236" s="3"/>
      <c r="L236" s="8"/>
      <c r="M236" s="39"/>
    </row>
    <row r="237" spans="1:13" ht="32.25" customHeight="1">
      <c r="A237" s="30"/>
      <c r="B237" s="35"/>
      <c r="C237" s="29"/>
      <c r="D237" s="30"/>
      <c r="E237" s="30"/>
      <c r="F237" s="32"/>
      <c r="G237" s="3"/>
      <c r="H237" s="10"/>
      <c r="I237" s="32"/>
      <c r="J237" s="3"/>
      <c r="K237" s="3"/>
      <c r="L237" s="8"/>
      <c r="M237" s="39"/>
    </row>
    <row r="238" spans="1:13" ht="32.25" customHeight="1">
      <c r="A238" s="30"/>
      <c r="B238" s="35"/>
      <c r="C238" s="29"/>
      <c r="D238" s="30"/>
      <c r="E238" s="30"/>
      <c r="F238" s="32"/>
      <c r="G238" s="3"/>
      <c r="H238" s="10"/>
      <c r="I238" s="32"/>
      <c r="J238" s="3"/>
      <c r="K238" s="3"/>
      <c r="L238" s="8"/>
      <c r="M238" s="39"/>
    </row>
    <row r="239" spans="1:13" ht="32.25" customHeight="1">
      <c r="A239" s="30"/>
      <c r="B239" s="35"/>
      <c r="C239" s="29"/>
      <c r="D239" s="30"/>
      <c r="E239" s="30"/>
      <c r="F239" s="32"/>
      <c r="G239" s="3"/>
      <c r="H239" s="10"/>
      <c r="I239" s="32"/>
      <c r="J239" s="3"/>
      <c r="K239" s="3"/>
      <c r="L239" s="8"/>
      <c r="M239" s="39"/>
    </row>
    <row r="240" spans="1:13" ht="32.25" customHeight="1">
      <c r="A240" s="30"/>
      <c r="B240" s="35"/>
      <c r="C240" s="29"/>
      <c r="D240" s="30"/>
      <c r="E240" s="30"/>
      <c r="F240" s="32"/>
      <c r="G240" s="3"/>
      <c r="H240" s="10"/>
      <c r="I240" s="32"/>
      <c r="J240" s="3"/>
      <c r="K240" s="3"/>
      <c r="L240" s="8"/>
      <c r="M240" s="39"/>
    </row>
    <row r="241" spans="1:13" ht="32.25" customHeight="1">
      <c r="A241" s="30"/>
      <c r="B241" s="35"/>
      <c r="C241" s="29"/>
      <c r="D241" s="30"/>
      <c r="E241" s="30"/>
      <c r="F241" s="32"/>
      <c r="G241" s="3"/>
      <c r="H241" s="10"/>
      <c r="I241" s="32"/>
      <c r="J241" s="3"/>
      <c r="K241" s="3"/>
      <c r="L241" s="8"/>
      <c r="M241" s="39"/>
    </row>
    <row r="242" spans="1:13" ht="32.25" customHeight="1">
      <c r="A242" s="30"/>
      <c r="B242" s="35"/>
      <c r="C242" s="29"/>
      <c r="D242" s="30"/>
      <c r="E242" s="30"/>
      <c r="F242" s="32"/>
      <c r="G242" s="3"/>
      <c r="H242" s="10"/>
      <c r="I242" s="32"/>
      <c r="J242" s="3"/>
      <c r="K242" s="3"/>
      <c r="L242" s="8"/>
      <c r="M242" s="39"/>
    </row>
    <row r="243" spans="1:13" ht="32.25" customHeight="1">
      <c r="A243" s="30"/>
      <c r="B243" s="35"/>
      <c r="C243" s="29"/>
      <c r="D243" s="30"/>
      <c r="E243" s="30"/>
      <c r="F243" s="32"/>
      <c r="G243" s="3"/>
      <c r="H243" s="10"/>
      <c r="I243" s="32"/>
      <c r="J243" s="3"/>
      <c r="K243" s="3"/>
      <c r="L243" s="8"/>
      <c r="M243" s="39"/>
    </row>
    <row r="244" spans="1:13" ht="32.25" customHeight="1">
      <c r="A244" s="30"/>
      <c r="B244" s="35"/>
      <c r="C244" s="29"/>
      <c r="D244" s="30"/>
      <c r="E244" s="30"/>
      <c r="F244" s="32"/>
      <c r="G244" s="3"/>
      <c r="H244" s="10"/>
      <c r="I244" s="32"/>
      <c r="J244" s="3"/>
      <c r="K244" s="3"/>
      <c r="L244" s="8"/>
      <c r="M244" s="39"/>
    </row>
    <row r="245" spans="1:13" ht="32.25" customHeight="1">
      <c r="A245" s="30"/>
      <c r="B245" s="35"/>
      <c r="C245" s="29"/>
      <c r="D245" s="30"/>
      <c r="E245" s="30"/>
      <c r="F245" s="32"/>
      <c r="G245" s="3"/>
      <c r="H245" s="10"/>
      <c r="I245" s="32"/>
      <c r="J245" s="3"/>
      <c r="K245" s="3"/>
      <c r="L245" s="8"/>
      <c r="M245" s="39"/>
    </row>
    <row r="246" spans="1:13" ht="32.25" customHeight="1">
      <c r="A246" s="30"/>
      <c r="B246" s="35"/>
      <c r="C246" s="29"/>
      <c r="D246" s="30"/>
      <c r="E246" s="30"/>
      <c r="F246" s="32"/>
      <c r="G246" s="3"/>
      <c r="H246" s="10"/>
      <c r="I246" s="32"/>
      <c r="J246" s="3"/>
      <c r="K246" s="3"/>
      <c r="L246" s="8"/>
      <c r="M246" s="39"/>
    </row>
    <row r="247" spans="1:13" ht="32.25" customHeight="1">
      <c r="A247" s="30"/>
      <c r="B247" s="35"/>
      <c r="C247" s="29"/>
      <c r="D247" s="30"/>
      <c r="E247" s="30"/>
      <c r="F247" s="32"/>
      <c r="G247" s="3"/>
      <c r="H247" s="10"/>
      <c r="I247" s="32"/>
      <c r="J247" s="3"/>
      <c r="K247" s="3"/>
      <c r="L247" s="8"/>
      <c r="M247" s="39"/>
    </row>
    <row r="248" spans="1:13" ht="32.25" customHeight="1">
      <c r="A248" s="30"/>
      <c r="B248" s="35"/>
      <c r="C248" s="29"/>
      <c r="D248" s="30"/>
      <c r="E248" s="30"/>
      <c r="F248" s="32"/>
      <c r="G248" s="3"/>
      <c r="H248" s="10"/>
      <c r="I248" s="32"/>
      <c r="J248" s="3"/>
      <c r="K248" s="3"/>
      <c r="L248" s="8"/>
      <c r="M248" s="39"/>
    </row>
    <row r="249" spans="1:13" ht="32.25" customHeight="1">
      <c r="A249" s="30"/>
      <c r="B249" s="35"/>
      <c r="C249" s="29"/>
      <c r="D249" s="30"/>
      <c r="E249" s="30"/>
      <c r="F249" s="32"/>
      <c r="G249" s="3"/>
      <c r="H249" s="10"/>
      <c r="I249" s="32"/>
      <c r="J249" s="3"/>
      <c r="K249" s="3"/>
      <c r="L249" s="8"/>
      <c r="M249" s="39"/>
    </row>
    <row r="250" spans="1:13" ht="32.25" customHeight="1">
      <c r="A250" s="30"/>
      <c r="B250" s="35"/>
      <c r="C250" s="29"/>
      <c r="D250" s="30"/>
      <c r="E250" s="30"/>
      <c r="F250" s="32"/>
      <c r="G250" s="3"/>
      <c r="H250" s="10"/>
      <c r="I250" s="32"/>
      <c r="J250" s="3"/>
      <c r="K250" s="3"/>
      <c r="L250" s="8"/>
      <c r="M250" s="39"/>
    </row>
    <row r="251" spans="1:13" ht="32.25" customHeight="1">
      <c r="A251" s="30"/>
      <c r="B251" s="35"/>
      <c r="C251" s="29"/>
      <c r="D251" s="30"/>
      <c r="E251" s="30"/>
      <c r="F251" s="32"/>
      <c r="G251" s="3"/>
      <c r="H251" s="10"/>
      <c r="I251" s="32"/>
      <c r="J251" s="3"/>
      <c r="K251" s="3"/>
      <c r="L251" s="8"/>
      <c r="M251" s="39"/>
    </row>
    <row r="252" spans="1:13" ht="32.25" customHeight="1">
      <c r="A252" s="30"/>
      <c r="B252" s="35"/>
      <c r="C252" s="29"/>
      <c r="D252" s="30"/>
      <c r="E252" s="30"/>
      <c r="F252" s="32"/>
      <c r="G252" s="3"/>
      <c r="H252" s="10"/>
      <c r="I252" s="32"/>
      <c r="J252" s="3"/>
      <c r="K252" s="3"/>
      <c r="L252" s="8"/>
      <c r="M252" s="39"/>
    </row>
    <row r="253" spans="1:13" ht="32.25" customHeight="1">
      <c r="A253" s="30"/>
      <c r="B253" s="35"/>
      <c r="C253" s="29"/>
      <c r="D253" s="30"/>
      <c r="E253" s="30"/>
      <c r="F253" s="32"/>
      <c r="G253" s="3"/>
      <c r="H253" s="10"/>
      <c r="I253" s="32"/>
      <c r="J253" s="3"/>
      <c r="K253" s="3"/>
      <c r="L253" s="8"/>
      <c r="M253" s="39"/>
    </row>
    <row r="254" spans="1:13" ht="32.25" customHeight="1">
      <c r="A254" s="30"/>
      <c r="B254" s="35"/>
      <c r="C254" s="29"/>
      <c r="D254" s="30"/>
      <c r="E254" s="30"/>
      <c r="F254" s="32"/>
      <c r="G254" s="3"/>
      <c r="H254" s="10"/>
      <c r="I254" s="32"/>
      <c r="J254" s="3"/>
      <c r="K254" s="3"/>
      <c r="L254" s="8"/>
      <c r="M254" s="39"/>
    </row>
    <row r="255" spans="1:13" ht="32.25" customHeight="1">
      <c r="A255" s="30"/>
      <c r="B255" s="35"/>
      <c r="C255" s="29"/>
      <c r="D255" s="30"/>
      <c r="E255" s="30"/>
      <c r="F255" s="32"/>
      <c r="G255" s="3"/>
      <c r="H255" s="10"/>
      <c r="I255" s="32"/>
      <c r="J255" s="3"/>
      <c r="K255" s="3"/>
      <c r="L255" s="8"/>
      <c r="M255" s="39"/>
    </row>
    <row r="256" spans="1:13" ht="32.25" customHeight="1">
      <c r="A256" s="30"/>
      <c r="B256" s="35"/>
      <c r="C256" s="29"/>
      <c r="D256" s="30"/>
      <c r="E256" s="30"/>
      <c r="F256" s="32"/>
      <c r="G256" s="3"/>
      <c r="H256" s="10"/>
      <c r="I256" s="32"/>
      <c r="J256" s="3"/>
      <c r="K256" s="3"/>
      <c r="L256" s="8"/>
      <c r="M256" s="39"/>
    </row>
    <row r="257" spans="1:13" ht="32.25" customHeight="1">
      <c r="A257" s="30"/>
      <c r="B257" s="35"/>
      <c r="C257" s="29"/>
      <c r="D257" s="30"/>
      <c r="E257" s="30"/>
      <c r="F257" s="32"/>
      <c r="G257" s="3"/>
      <c r="H257" s="10"/>
      <c r="I257" s="32"/>
      <c r="J257" s="3"/>
      <c r="K257" s="3"/>
      <c r="L257" s="8"/>
      <c r="M257" s="39"/>
    </row>
    <row r="258" spans="1:13" ht="32.25" customHeight="1">
      <c r="A258" s="30"/>
      <c r="B258" s="35"/>
      <c r="C258" s="29"/>
      <c r="D258" s="30"/>
      <c r="E258" s="30"/>
      <c r="F258" s="32"/>
      <c r="G258" s="3"/>
      <c r="H258" s="10"/>
      <c r="I258" s="32"/>
      <c r="J258" s="3"/>
      <c r="K258" s="3"/>
      <c r="L258" s="8"/>
      <c r="M258" s="39"/>
    </row>
    <row r="259" spans="1:13" ht="32.25" customHeight="1">
      <c r="A259" s="30"/>
      <c r="B259" s="35"/>
      <c r="C259" s="29"/>
      <c r="D259" s="30"/>
      <c r="E259" s="30"/>
      <c r="F259" s="32"/>
      <c r="G259" s="3"/>
      <c r="H259" s="10"/>
      <c r="I259" s="32"/>
      <c r="J259" s="3"/>
      <c r="K259" s="3"/>
      <c r="L259" s="8"/>
      <c r="M259" s="39"/>
    </row>
    <row r="260" spans="1:13" ht="32.25" customHeight="1">
      <c r="A260" s="30"/>
      <c r="B260" s="35"/>
      <c r="C260" s="29"/>
      <c r="D260" s="30"/>
      <c r="E260" s="30"/>
      <c r="F260" s="32"/>
      <c r="G260" s="3"/>
      <c r="H260" s="10"/>
      <c r="I260" s="32"/>
      <c r="J260" s="3"/>
      <c r="K260" s="3"/>
      <c r="L260" s="8"/>
      <c r="M260" s="39"/>
    </row>
    <row r="261" spans="1:13" ht="32.25" customHeight="1">
      <c r="A261" s="30"/>
      <c r="B261" s="35"/>
      <c r="C261" s="29"/>
      <c r="D261" s="30"/>
      <c r="E261" s="30"/>
      <c r="F261" s="32"/>
      <c r="G261" s="3"/>
      <c r="H261" s="10"/>
      <c r="I261" s="32"/>
      <c r="J261" s="3"/>
      <c r="K261" s="3"/>
      <c r="L261" s="8"/>
      <c r="M261" s="39"/>
    </row>
    <row r="262" spans="1:13" ht="32.25" customHeight="1">
      <c r="A262" s="30"/>
      <c r="B262" s="35"/>
      <c r="C262" s="29"/>
      <c r="D262" s="30"/>
      <c r="E262" s="30"/>
      <c r="F262" s="32"/>
      <c r="G262" s="3"/>
      <c r="H262" s="10"/>
      <c r="I262" s="32"/>
      <c r="J262" s="3"/>
      <c r="K262" s="3"/>
      <c r="L262" s="8"/>
      <c r="M262" s="39"/>
    </row>
    <row r="263" spans="1:13" ht="32.25" customHeight="1">
      <c r="A263" s="30"/>
      <c r="B263" s="35"/>
      <c r="C263" s="29"/>
      <c r="D263" s="30"/>
      <c r="E263" s="30"/>
      <c r="F263" s="32"/>
      <c r="G263" s="3"/>
      <c r="H263" s="10"/>
      <c r="I263" s="32"/>
      <c r="J263" s="3"/>
      <c r="K263" s="3"/>
      <c r="L263" s="8"/>
      <c r="M263" s="39"/>
    </row>
    <row r="264" spans="1:13" ht="32.25" customHeight="1">
      <c r="A264" s="30"/>
      <c r="B264" s="35"/>
      <c r="C264" s="29"/>
      <c r="D264" s="30"/>
      <c r="E264" s="30"/>
      <c r="F264" s="32"/>
      <c r="G264" s="3"/>
      <c r="H264" s="10"/>
      <c r="I264" s="32"/>
      <c r="J264" s="3"/>
      <c r="K264" s="3"/>
      <c r="L264" s="8"/>
      <c r="M264" s="39"/>
    </row>
    <row r="265" spans="1:13" ht="32.25" customHeight="1">
      <c r="A265" s="30"/>
      <c r="B265" s="35"/>
      <c r="C265" s="29"/>
      <c r="D265" s="30"/>
      <c r="E265" s="30"/>
      <c r="F265" s="32"/>
      <c r="G265" s="3"/>
      <c r="H265" s="10"/>
      <c r="I265" s="32"/>
      <c r="J265" s="3"/>
      <c r="K265" s="3"/>
      <c r="L265" s="8"/>
      <c r="M265" s="39"/>
    </row>
    <row r="266" spans="1:13" ht="32.25" customHeight="1">
      <c r="A266" s="30"/>
      <c r="B266" s="35"/>
      <c r="C266" s="29"/>
      <c r="D266" s="30"/>
      <c r="E266" s="30"/>
      <c r="F266" s="32"/>
      <c r="G266" s="3"/>
      <c r="H266" s="10"/>
      <c r="I266" s="32"/>
      <c r="J266" s="3"/>
      <c r="K266" s="3"/>
      <c r="L266" s="8"/>
      <c r="M266" s="39"/>
    </row>
    <row r="267" spans="1:13" ht="32.25" customHeight="1">
      <c r="A267" s="30"/>
      <c r="B267" s="35"/>
      <c r="C267" s="29"/>
      <c r="D267" s="30"/>
      <c r="E267" s="30"/>
      <c r="F267" s="32"/>
      <c r="G267" s="3"/>
      <c r="H267" s="10"/>
      <c r="I267" s="32"/>
      <c r="J267" s="3"/>
      <c r="K267" s="3"/>
      <c r="L267" s="8"/>
      <c r="M267" s="39"/>
    </row>
    <row r="268" spans="1:13" ht="32.25" customHeight="1">
      <c r="A268" s="62"/>
      <c r="B268" s="63"/>
      <c r="C268" s="63"/>
      <c r="D268" s="63"/>
      <c r="E268" s="63"/>
      <c r="F268" s="64"/>
      <c r="G268" s="65"/>
      <c r="H268" s="65"/>
      <c r="J268" s="111"/>
      <c r="K268" s="111"/>
      <c r="L268" s="111"/>
      <c r="M268" s="111"/>
    </row>
    <row r="269" spans="1:13" ht="32.25" customHeight="1">
      <c r="A269" s="63"/>
      <c r="B269" s="63"/>
      <c r="C269" s="63"/>
      <c r="D269" s="63"/>
      <c r="E269" s="63"/>
      <c r="F269" s="63"/>
      <c r="G269" s="65"/>
      <c r="H269" s="65"/>
      <c r="J269" s="109"/>
      <c r="K269" s="109"/>
      <c r="L269" s="109"/>
      <c r="M269" s="109"/>
    </row>
    <row r="270" spans="1:13" ht="32.25" customHeight="1">
      <c r="A270" s="108"/>
      <c r="B270" s="108"/>
      <c r="C270" s="108"/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</row>
    <row r="271" spans="1:13" ht="32.2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</row>
    <row r="272" spans="1:13" ht="32.25" customHeight="1">
      <c r="A272" s="109"/>
      <c r="B272" s="109"/>
      <c r="C272" s="109"/>
      <c r="D272" s="65"/>
      <c r="E272" s="109"/>
      <c r="F272" s="109"/>
      <c r="G272" s="109"/>
      <c r="H272" s="109"/>
      <c r="I272" s="109"/>
      <c r="J272" s="109"/>
      <c r="K272" s="1"/>
      <c r="L272" s="1"/>
      <c r="M272" s="1"/>
    </row>
    <row r="273" spans="1:13" ht="32.25" customHeight="1">
      <c r="A273" s="110"/>
      <c r="B273" s="110"/>
      <c r="C273" s="110"/>
      <c r="D273" s="110"/>
      <c r="E273" s="110"/>
      <c r="F273" s="110"/>
      <c r="G273" s="110"/>
      <c r="H273" s="110"/>
      <c r="I273" s="110"/>
      <c r="J273" s="110"/>
      <c r="K273" s="110"/>
      <c r="L273" s="110"/>
      <c r="M273" s="110"/>
    </row>
    <row r="274" spans="1:13" ht="32.25" customHeight="1">
      <c r="A274" s="108"/>
      <c r="B274" s="108"/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</row>
    <row r="278" spans="1:13" ht="32.25" customHeight="1">
      <c r="I278" s="2"/>
      <c r="J278" s="2"/>
    </row>
    <row r="280" spans="1:13" ht="32.25" customHeight="1">
      <c r="A280" s="63"/>
      <c r="B280" s="67"/>
      <c r="C280" s="68"/>
      <c r="D280" s="69"/>
      <c r="E280" s="69"/>
      <c r="F280" s="69"/>
      <c r="G280" s="70"/>
      <c r="H280" s="70"/>
      <c r="I280" s="70"/>
      <c r="J280" s="70"/>
      <c r="K280" s="70"/>
      <c r="L280" s="70"/>
      <c r="M280" s="70"/>
    </row>
  </sheetData>
  <mergeCells count="35">
    <mergeCell ref="A1:M6"/>
    <mergeCell ref="A8:L8"/>
    <mergeCell ref="A22:L22"/>
    <mergeCell ref="A274:M274"/>
    <mergeCell ref="A272:C272"/>
    <mergeCell ref="E272:G272"/>
    <mergeCell ref="H272:J272"/>
    <mergeCell ref="A273:M273"/>
    <mergeCell ref="J268:M268"/>
    <mergeCell ref="A270:M270"/>
    <mergeCell ref="J269:M269"/>
    <mergeCell ref="A98:L98"/>
    <mergeCell ref="A102:L102"/>
    <mergeCell ref="A124:L124"/>
    <mergeCell ref="A128:L128"/>
    <mergeCell ref="A135:L135"/>
    <mergeCell ref="A26:L26"/>
    <mergeCell ref="A34:L34"/>
    <mergeCell ref="A41:L41"/>
    <mergeCell ref="A51:L51"/>
    <mergeCell ref="A56:L56"/>
    <mergeCell ref="A188:L188"/>
    <mergeCell ref="J197:L197"/>
    <mergeCell ref="J200:L200"/>
    <mergeCell ref="J201:L201"/>
    <mergeCell ref="A60:L60"/>
    <mergeCell ref="A72:L72"/>
    <mergeCell ref="A77:L77"/>
    <mergeCell ref="A81:L81"/>
    <mergeCell ref="A87:L87"/>
    <mergeCell ref="A145:L145"/>
    <mergeCell ref="A153:L153"/>
    <mergeCell ref="A159:L159"/>
    <mergeCell ref="A173:L173"/>
    <mergeCell ref="A183:L183"/>
  </mergeCells>
  <phoneticPr fontId="2" type="noConversion"/>
  <pageMargins left="0.74" right="0.23622047244094491" top="0.35" bottom="0.21" header="0.31496062992125984" footer="0.17"/>
  <pageSetup paperSize="5" scale="48" fitToHeight="0" orientation="landscape" r:id="rId1"/>
  <ignoredErrors>
    <ignoredError sqref="H80 G39 H39:I39 K59 K110 K116 K179 I59:J59 G133 G101:H101 I187" formula="1"/>
    <ignoredError sqref="K131" formulaRange="1"/>
    <ignoredError sqref="A161:A171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9457-C1AA-4D91-B91C-1A26343B2A6E}">
  <dimension ref="C8:O31"/>
  <sheetViews>
    <sheetView topLeftCell="C1" workbookViewId="0">
      <selection activeCell="C8" sqref="C8:O31"/>
    </sheetView>
  </sheetViews>
  <sheetFormatPr baseColWidth="10" defaultRowHeight="15"/>
  <cols>
    <col min="3" max="3" width="68.7109375" bestFit="1" customWidth="1"/>
    <col min="4" max="4" width="22.7109375" bestFit="1" customWidth="1"/>
    <col min="5" max="5" width="28.28515625" customWidth="1"/>
    <col min="7" max="7" width="18.7109375" bestFit="1" customWidth="1"/>
    <col min="8" max="8" width="38.7109375" bestFit="1" customWidth="1"/>
    <col min="14" max="14" width="12.5703125" bestFit="1" customWidth="1"/>
  </cols>
  <sheetData>
    <row r="8" spans="3:14">
      <c r="C8" s="112" t="s">
        <v>266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4"/>
    </row>
    <row r="9" spans="3:14">
      <c r="C9" s="115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16"/>
    </row>
    <row r="10" spans="3:14">
      <c r="C10" s="115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16"/>
    </row>
    <row r="11" spans="3:14">
      <c r="C11" s="115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16"/>
    </row>
    <row r="12" spans="3:14">
      <c r="C12" s="115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16"/>
    </row>
    <row r="13" spans="3:14" ht="15.75" thickBot="1"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04"/>
      <c r="N13" s="116"/>
    </row>
    <row r="14" spans="3:14" ht="21" thickBot="1">
      <c r="C14" s="119" t="s">
        <v>38</v>
      </c>
      <c r="D14" s="119" t="s">
        <v>26</v>
      </c>
      <c r="E14" s="119" t="s">
        <v>16</v>
      </c>
      <c r="F14" s="119" t="s">
        <v>17</v>
      </c>
      <c r="G14" s="119" t="s">
        <v>18</v>
      </c>
      <c r="H14" s="119" t="s">
        <v>27</v>
      </c>
      <c r="I14" s="119" t="s">
        <v>19</v>
      </c>
      <c r="J14" s="119" t="s">
        <v>10</v>
      </c>
      <c r="K14" s="119" t="s">
        <v>267</v>
      </c>
      <c r="L14" s="120" t="s">
        <v>20</v>
      </c>
      <c r="M14" s="121"/>
      <c r="N14" s="122"/>
    </row>
    <row r="15" spans="3:14" ht="30.75">
      <c r="C15" s="123" t="s">
        <v>268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5"/>
      <c r="N15" s="126"/>
    </row>
    <row r="16" spans="3:14" ht="20.25">
      <c r="C16" s="127" t="s">
        <v>0</v>
      </c>
      <c r="D16" s="127" t="s">
        <v>1</v>
      </c>
      <c r="E16" s="127" t="s">
        <v>2</v>
      </c>
      <c r="F16" s="127" t="s">
        <v>13</v>
      </c>
      <c r="G16" s="127" t="s">
        <v>3</v>
      </c>
      <c r="H16" s="127" t="s">
        <v>28</v>
      </c>
      <c r="I16" s="127" t="s">
        <v>4</v>
      </c>
      <c r="J16" s="127" t="s">
        <v>5</v>
      </c>
      <c r="K16" s="127" t="s">
        <v>6</v>
      </c>
      <c r="L16" s="127" t="s">
        <v>31</v>
      </c>
      <c r="M16" s="127" t="s">
        <v>30</v>
      </c>
      <c r="N16" s="127" t="s">
        <v>29</v>
      </c>
    </row>
    <row r="17" spans="3:15" ht="103.5">
      <c r="C17" s="128">
        <v>1</v>
      </c>
      <c r="D17" s="129" t="s">
        <v>269</v>
      </c>
      <c r="E17" s="129" t="s">
        <v>270</v>
      </c>
      <c r="F17" s="129" t="s">
        <v>15</v>
      </c>
      <c r="G17" s="130" t="s">
        <v>271</v>
      </c>
      <c r="H17" s="131">
        <v>55000</v>
      </c>
      <c r="I17" s="70">
        <v>1578.5</v>
      </c>
      <c r="J17" s="70">
        <v>1672</v>
      </c>
      <c r="K17" s="70">
        <v>2559.67</v>
      </c>
      <c r="L17" s="70">
        <v>1039.5</v>
      </c>
      <c r="M17" s="70">
        <f>I17+J17+K17+L17</f>
        <v>6849.67</v>
      </c>
      <c r="N17" s="132">
        <f>H17-M17</f>
        <v>48150.33</v>
      </c>
      <c r="O17" s="133"/>
    </row>
    <row r="18" spans="3:15" ht="34.5">
      <c r="C18" s="134" t="s">
        <v>24</v>
      </c>
      <c r="D18" s="135"/>
      <c r="E18" s="135"/>
      <c r="F18" s="129"/>
      <c r="G18" s="129"/>
      <c r="H18" s="136">
        <f>SUM(H17:H17)</f>
        <v>55000</v>
      </c>
      <c r="I18" s="137">
        <f>+I17</f>
        <v>1578.5</v>
      </c>
      <c r="J18" s="138">
        <v>1520</v>
      </c>
      <c r="K18" s="136">
        <f>SUM(K16:K17)</f>
        <v>2559.67</v>
      </c>
      <c r="L18" s="136">
        <f>SUM(L16:L17)</f>
        <v>1039.5</v>
      </c>
      <c r="M18" s="136">
        <f>SUM(M16:M17)</f>
        <v>6849.67</v>
      </c>
      <c r="N18" s="139">
        <f>SUM(N17:N17)</f>
        <v>48150.33</v>
      </c>
      <c r="O18" s="133"/>
    </row>
    <row r="19" spans="3:15" ht="34.5">
      <c r="C19" s="140" t="s">
        <v>272</v>
      </c>
      <c r="D19" s="141"/>
      <c r="E19" s="141"/>
      <c r="F19" s="142"/>
      <c r="G19" s="142"/>
      <c r="H19" s="143">
        <f>+H18</f>
        <v>55000</v>
      </c>
      <c r="I19" s="143">
        <f t="shared" ref="I19:M19" si="0">+I18</f>
        <v>1578.5</v>
      </c>
      <c r="J19" s="143">
        <f>+J18</f>
        <v>1520</v>
      </c>
      <c r="K19" s="143">
        <f t="shared" si="0"/>
        <v>2559.67</v>
      </c>
      <c r="L19" s="143">
        <f t="shared" si="0"/>
        <v>1039.5</v>
      </c>
      <c r="M19" s="143">
        <f t="shared" si="0"/>
        <v>6849.67</v>
      </c>
      <c r="N19" s="144">
        <f>+N18</f>
        <v>48150.33</v>
      </c>
      <c r="O19" s="133"/>
    </row>
    <row r="20" spans="3:15" ht="17.25">
      <c r="C20" s="145"/>
      <c r="D20" s="146"/>
      <c r="E20" s="146"/>
      <c r="F20" s="129"/>
      <c r="G20" s="129"/>
      <c r="H20" s="137"/>
      <c r="I20" s="147"/>
      <c r="J20" s="147"/>
      <c r="K20" s="137"/>
      <c r="L20" s="148"/>
      <c r="M20" s="137"/>
      <c r="N20" s="137"/>
      <c r="O20" s="133"/>
    </row>
    <row r="21" spans="3:15" ht="17.25">
      <c r="C21" s="145"/>
      <c r="D21" s="146"/>
      <c r="E21" s="146"/>
      <c r="F21" s="129"/>
      <c r="G21" s="129"/>
      <c r="H21" s="137"/>
      <c r="I21" s="147"/>
      <c r="J21" s="147"/>
      <c r="K21" s="137"/>
      <c r="L21" s="148"/>
      <c r="M21" s="137"/>
      <c r="N21" s="137"/>
      <c r="O21" s="133"/>
    </row>
    <row r="22" spans="3:15" ht="17.25">
      <c r="C22" s="145"/>
      <c r="D22" s="146"/>
      <c r="E22" s="146"/>
      <c r="F22" s="129"/>
      <c r="G22" s="129"/>
      <c r="H22" s="137"/>
      <c r="I22" s="147"/>
      <c r="J22" s="147"/>
      <c r="K22" s="137"/>
      <c r="L22" s="148"/>
      <c r="M22" s="137"/>
      <c r="N22" s="137"/>
      <c r="O22" s="133"/>
    </row>
    <row r="23" spans="3:15" ht="17.25">
      <c r="C23" s="63" t="s">
        <v>21</v>
      </c>
      <c r="D23" s="63"/>
      <c r="E23" s="63"/>
      <c r="F23" s="63"/>
      <c r="G23" s="63"/>
      <c r="H23" s="65" t="s">
        <v>23</v>
      </c>
      <c r="I23" s="65"/>
      <c r="J23" s="65"/>
      <c r="K23" s="133"/>
      <c r="L23" s="109" t="s">
        <v>22</v>
      </c>
      <c r="M23" s="109"/>
      <c r="N23" s="109"/>
      <c r="O23" s="109"/>
    </row>
    <row r="24" spans="3:15" ht="17.25">
      <c r="C24" s="149"/>
      <c r="D24" s="63"/>
      <c r="E24" s="63"/>
      <c r="F24" s="63"/>
      <c r="G24" s="63"/>
      <c r="H24" s="63"/>
      <c r="I24" s="94"/>
      <c r="J24" s="94"/>
      <c r="K24" s="94"/>
      <c r="L24" s="94"/>
      <c r="M24" s="94"/>
      <c r="N24" s="94"/>
      <c r="O24" s="150"/>
    </row>
    <row r="25" spans="3:15" ht="17.25">
      <c r="C25" s="151" t="s">
        <v>273</v>
      </c>
      <c r="D25" s="152"/>
      <c r="E25" s="63"/>
      <c r="F25" s="63"/>
      <c r="G25" s="63"/>
      <c r="H25" s="64" t="s">
        <v>8</v>
      </c>
      <c r="I25" s="65"/>
      <c r="J25" s="65"/>
      <c r="K25" s="65"/>
      <c r="L25" s="111" t="s">
        <v>35</v>
      </c>
      <c r="M25" s="111"/>
      <c r="N25" s="111"/>
      <c r="O25" s="111"/>
    </row>
    <row r="26" spans="3:15" ht="17.25">
      <c r="C26" s="152" t="s">
        <v>274</v>
      </c>
      <c r="D26" s="152"/>
      <c r="E26" s="63"/>
      <c r="F26" s="63"/>
      <c r="G26" s="63"/>
      <c r="H26" s="63" t="s">
        <v>25</v>
      </c>
      <c r="I26" s="65"/>
      <c r="J26" s="65"/>
      <c r="K26" s="65"/>
      <c r="L26" s="109" t="s">
        <v>7</v>
      </c>
      <c r="M26" s="109"/>
      <c r="N26" s="109"/>
      <c r="O26" s="109"/>
    </row>
    <row r="27" spans="3:15" ht="17.25">
      <c r="C27" s="145"/>
      <c r="D27" s="146"/>
      <c r="E27" s="146"/>
      <c r="F27" s="129"/>
      <c r="G27" s="129"/>
      <c r="H27" s="137"/>
      <c r="I27" s="147"/>
      <c r="J27" s="147"/>
      <c r="K27" s="137"/>
      <c r="L27" s="148"/>
      <c r="M27" s="137"/>
      <c r="N27" s="137"/>
      <c r="O27" s="133"/>
    </row>
    <row r="28" spans="3:15" ht="17.25">
      <c r="C28" s="145"/>
      <c r="D28" s="146"/>
      <c r="E28" s="146"/>
      <c r="F28" s="129"/>
      <c r="G28" s="129"/>
      <c r="H28" s="137"/>
      <c r="I28" s="147"/>
      <c r="J28" s="147"/>
      <c r="K28" s="137"/>
      <c r="L28" s="148"/>
      <c r="M28" s="137"/>
      <c r="N28" s="137"/>
      <c r="O28" s="133"/>
    </row>
    <row r="29" spans="3:15" ht="17.25">
      <c r="C29" s="145"/>
      <c r="D29" s="146"/>
      <c r="E29" s="146"/>
      <c r="F29" s="129"/>
      <c r="G29" s="129"/>
      <c r="H29" s="137"/>
      <c r="I29" s="147"/>
      <c r="J29" s="147"/>
      <c r="K29" s="137"/>
      <c r="L29" s="148"/>
      <c r="M29" s="137"/>
      <c r="N29" s="137"/>
      <c r="O29" s="133"/>
    </row>
    <row r="30" spans="3:15" ht="17.25">
      <c r="C30" s="145"/>
      <c r="D30" s="146"/>
      <c r="E30" s="146"/>
      <c r="F30" s="129"/>
      <c r="G30" s="129"/>
      <c r="H30" s="137"/>
      <c r="I30" s="147"/>
      <c r="J30" s="147"/>
      <c r="K30" s="137"/>
      <c r="L30" s="148"/>
      <c r="M30" s="137"/>
      <c r="N30" s="137"/>
      <c r="O30" s="133"/>
    </row>
    <row r="31" spans="3:15" ht="17.25">
      <c r="C31" s="145"/>
      <c r="D31" s="146"/>
      <c r="E31" s="146"/>
      <c r="F31" s="129"/>
      <c r="G31" s="129"/>
      <c r="H31" s="137"/>
      <c r="I31" s="147"/>
      <c r="J31" s="147"/>
      <c r="K31" s="137"/>
      <c r="L31" s="148"/>
      <c r="M31" s="137"/>
      <c r="N31" s="137"/>
      <c r="O31" s="133"/>
    </row>
  </sheetData>
  <mergeCells count="5">
    <mergeCell ref="C8:N13"/>
    <mergeCell ref="C15:N15"/>
    <mergeCell ref="L23:O23"/>
    <mergeCell ref="L25:O25"/>
    <mergeCell ref="L26:O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113F4-FFC7-44E6-946C-BFF453053F38}">
  <dimension ref="A1:M107"/>
  <sheetViews>
    <sheetView workbookViewId="0">
      <selection sqref="A1:M6"/>
    </sheetView>
  </sheetViews>
  <sheetFormatPr baseColWidth="10" defaultRowHeight="15"/>
  <cols>
    <col min="2" max="2" width="42.5703125" bestFit="1" customWidth="1"/>
    <col min="3" max="3" width="40.85546875" bestFit="1" customWidth="1"/>
    <col min="4" max="4" width="12.42578125" bestFit="1" customWidth="1"/>
    <col min="5" max="5" width="40.42578125" bestFit="1" customWidth="1"/>
    <col min="6" max="6" width="38.7109375" bestFit="1" customWidth="1"/>
    <col min="7" max="7" width="24.5703125" bestFit="1" customWidth="1"/>
    <col min="11" max="11" width="17.42578125" bestFit="1" customWidth="1"/>
    <col min="12" max="12" width="16.140625" bestFit="1" customWidth="1"/>
    <col min="13" max="13" width="14.5703125" bestFit="1" customWidth="1"/>
  </cols>
  <sheetData>
    <row r="1" spans="1:13">
      <c r="A1" s="100" t="s">
        <v>275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5"/>
    </row>
    <row r="3" spans="1:13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/>
    </row>
    <row r="4" spans="1:13">
      <c r="A4" s="103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5"/>
    </row>
    <row r="5" spans="1:13">
      <c r="A5" s="103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5"/>
    </row>
    <row r="6" spans="1:13">
      <c r="A6" s="103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</row>
    <row r="7" spans="1:13" ht="20.25">
      <c r="A7" s="127" t="s">
        <v>276</v>
      </c>
      <c r="B7" s="127" t="s">
        <v>26</v>
      </c>
      <c r="C7" s="127" t="s">
        <v>16</v>
      </c>
      <c r="D7" s="127" t="s">
        <v>17</v>
      </c>
      <c r="E7" s="127" t="s">
        <v>18</v>
      </c>
      <c r="F7" s="127"/>
      <c r="G7" s="127" t="s">
        <v>27</v>
      </c>
      <c r="H7" s="127" t="s">
        <v>19</v>
      </c>
      <c r="I7" s="127" t="s">
        <v>10</v>
      </c>
      <c r="J7" s="127" t="s">
        <v>277</v>
      </c>
      <c r="K7" s="127" t="s">
        <v>20</v>
      </c>
      <c r="L7" s="127"/>
      <c r="M7" s="127"/>
    </row>
    <row r="8" spans="1:13" ht="26.25">
      <c r="A8" s="153" t="s">
        <v>278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</row>
    <row r="9" spans="1:13" ht="18">
      <c r="A9" s="154" t="s">
        <v>0</v>
      </c>
      <c r="B9" s="155" t="s">
        <v>1</v>
      </c>
      <c r="C9" s="155" t="s">
        <v>2</v>
      </c>
      <c r="D9" s="155" t="s">
        <v>13</v>
      </c>
      <c r="E9" s="155" t="s">
        <v>3</v>
      </c>
      <c r="F9" s="155" t="s">
        <v>279</v>
      </c>
      <c r="G9" s="155" t="s">
        <v>28</v>
      </c>
      <c r="H9" s="155" t="s">
        <v>4</v>
      </c>
      <c r="I9" s="155" t="s">
        <v>6</v>
      </c>
      <c r="J9" s="155" t="s">
        <v>5</v>
      </c>
      <c r="K9" s="155" t="s">
        <v>31</v>
      </c>
      <c r="L9" s="155" t="s">
        <v>30</v>
      </c>
      <c r="M9" s="156" t="s">
        <v>29</v>
      </c>
    </row>
    <row r="10" spans="1:13">
      <c r="A10" s="157">
        <v>1</v>
      </c>
      <c r="B10" s="158" t="s">
        <v>280</v>
      </c>
      <c r="C10" s="158" t="s">
        <v>281</v>
      </c>
      <c r="D10" s="159" t="s">
        <v>14</v>
      </c>
      <c r="E10" s="159" t="s">
        <v>282</v>
      </c>
      <c r="F10" s="159" t="s">
        <v>283</v>
      </c>
      <c r="G10" s="160">
        <v>45000</v>
      </c>
      <c r="H10" s="160">
        <v>1291.5</v>
      </c>
      <c r="I10" s="160">
        <v>1148.32</v>
      </c>
      <c r="J10" s="161">
        <v>1368</v>
      </c>
      <c r="K10" s="160">
        <v>25</v>
      </c>
      <c r="L10" s="161">
        <f>H10+I10+J10+K10</f>
        <v>3832.8199999999997</v>
      </c>
      <c r="M10" s="162">
        <f>+G10-L10</f>
        <v>41167.18</v>
      </c>
    </row>
    <row r="11" spans="1:13" ht="120">
      <c r="A11" s="157">
        <v>2</v>
      </c>
      <c r="B11" s="163" t="s">
        <v>284</v>
      </c>
      <c r="C11" s="163" t="s">
        <v>285</v>
      </c>
      <c r="D11" s="159" t="s">
        <v>15</v>
      </c>
      <c r="E11" s="159" t="s">
        <v>282</v>
      </c>
      <c r="F11" s="159" t="s">
        <v>283</v>
      </c>
      <c r="G11" s="164">
        <v>115000</v>
      </c>
      <c r="H11" s="164">
        <f>G11*2.87%</f>
        <v>3300.5</v>
      </c>
      <c r="I11" s="164">
        <v>15633.81</v>
      </c>
      <c r="J11" s="164">
        <v>3496</v>
      </c>
      <c r="K11" s="164">
        <v>11571.35</v>
      </c>
      <c r="L11" s="164">
        <f t="shared" ref="L11" si="0">H11+I11+J11+K11</f>
        <v>34001.659999999996</v>
      </c>
      <c r="M11" s="165">
        <f>+G11-L11</f>
        <v>80998.34</v>
      </c>
    </row>
    <row r="12" spans="1:13" ht="31.5">
      <c r="A12" s="166" t="s">
        <v>24</v>
      </c>
      <c r="B12" s="167"/>
      <c r="C12" s="167"/>
      <c r="D12" s="167"/>
      <c r="E12" s="167"/>
      <c r="F12" s="167" t="s">
        <v>286</v>
      </c>
      <c r="G12" s="168">
        <f t="shared" ref="G12:L12" si="1">SUM(G10:G11)</f>
        <v>160000</v>
      </c>
      <c r="H12" s="168">
        <f t="shared" si="1"/>
        <v>4592</v>
      </c>
      <c r="I12" s="169">
        <f>SUM(I10:I11)</f>
        <v>16782.13</v>
      </c>
      <c r="J12" s="168">
        <f t="shared" si="1"/>
        <v>4864</v>
      </c>
      <c r="K12" s="168">
        <f>SUM(K10:K11)</f>
        <v>11596.35</v>
      </c>
      <c r="L12" s="168">
        <f t="shared" si="1"/>
        <v>37834.479999999996</v>
      </c>
      <c r="M12" s="170">
        <f>SUM(M10:M11)</f>
        <v>122165.51999999999</v>
      </c>
    </row>
    <row r="13" spans="1:13" ht="27" thickBot="1">
      <c r="A13" s="171" t="s">
        <v>287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3"/>
    </row>
    <row r="14" spans="1:13" ht="18.75" thickBot="1">
      <c r="A14" s="174" t="s">
        <v>0</v>
      </c>
      <c r="B14" s="174" t="s">
        <v>1</v>
      </c>
      <c r="C14" s="174" t="s">
        <v>2</v>
      </c>
      <c r="D14" s="174" t="s">
        <v>13</v>
      </c>
      <c r="E14" s="174" t="s">
        <v>3</v>
      </c>
      <c r="F14" s="174" t="s">
        <v>279</v>
      </c>
      <c r="G14" s="174" t="s">
        <v>28</v>
      </c>
      <c r="H14" s="174" t="s">
        <v>4</v>
      </c>
      <c r="I14" s="174" t="s">
        <v>6</v>
      </c>
      <c r="J14" s="174" t="s">
        <v>5</v>
      </c>
      <c r="K14" s="174" t="s">
        <v>31</v>
      </c>
      <c r="L14" s="174" t="s">
        <v>30</v>
      </c>
      <c r="M14" s="174" t="s">
        <v>29</v>
      </c>
    </row>
    <row r="15" spans="1:13" ht="90">
      <c r="A15" s="159">
        <v>3</v>
      </c>
      <c r="B15" s="158" t="s">
        <v>288</v>
      </c>
      <c r="C15" s="163" t="s">
        <v>36</v>
      </c>
      <c r="D15" s="159" t="s">
        <v>15</v>
      </c>
      <c r="E15" s="159" t="s">
        <v>282</v>
      </c>
      <c r="F15" s="159" t="s">
        <v>283</v>
      </c>
      <c r="G15" s="175">
        <v>55000</v>
      </c>
      <c r="H15" s="175">
        <v>1578.5</v>
      </c>
      <c r="I15" s="175">
        <v>2559.67</v>
      </c>
      <c r="J15" s="164">
        <v>1672</v>
      </c>
      <c r="K15" s="175">
        <v>6921.43</v>
      </c>
      <c r="L15" s="164">
        <f>H15+I15+J15+K15</f>
        <v>12731.6</v>
      </c>
      <c r="M15" s="175">
        <f>+G15-L15</f>
        <v>42268.4</v>
      </c>
    </row>
    <row r="16" spans="1:13" ht="31.5">
      <c r="A16" s="176" t="s">
        <v>24</v>
      </c>
      <c r="B16" s="177"/>
      <c r="C16" s="177"/>
      <c r="D16" s="177"/>
      <c r="E16" s="177"/>
      <c r="F16" s="177" t="s">
        <v>286</v>
      </c>
      <c r="G16" s="178">
        <f t="shared" ref="G16:M16" si="2">SUM(G15:G15)</f>
        <v>55000</v>
      </c>
      <c r="H16" s="178">
        <f t="shared" si="2"/>
        <v>1578.5</v>
      </c>
      <c r="I16" s="178">
        <f>SUM(I15:I15)</f>
        <v>2559.67</v>
      </c>
      <c r="J16" s="179">
        <f t="shared" si="2"/>
        <v>1672</v>
      </c>
      <c r="K16" s="179">
        <f t="shared" si="2"/>
        <v>6921.43</v>
      </c>
      <c r="L16" s="179">
        <f t="shared" si="2"/>
        <v>12731.6</v>
      </c>
      <c r="M16" s="179">
        <f t="shared" si="2"/>
        <v>42268.4</v>
      </c>
    </row>
    <row r="17" spans="1:13" ht="27" thickBot="1">
      <c r="A17" s="171" t="s">
        <v>289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3"/>
    </row>
    <row r="18" spans="1:13" ht="18.75" thickBot="1">
      <c r="A18" s="180" t="s">
        <v>0</v>
      </c>
      <c r="B18" s="180" t="s">
        <v>1</v>
      </c>
      <c r="C18" s="180" t="s">
        <v>2</v>
      </c>
      <c r="D18" s="180" t="s">
        <v>13</v>
      </c>
      <c r="E18" s="180" t="s">
        <v>3</v>
      </c>
      <c r="F18" s="180" t="s">
        <v>279</v>
      </c>
      <c r="G18" s="180" t="s">
        <v>28</v>
      </c>
      <c r="H18" s="180" t="s">
        <v>4</v>
      </c>
      <c r="I18" s="180" t="s">
        <v>6</v>
      </c>
      <c r="J18" s="180" t="s">
        <v>5</v>
      </c>
      <c r="K18" s="180" t="s">
        <v>31</v>
      </c>
      <c r="L18" s="180" t="s">
        <v>30</v>
      </c>
      <c r="M18" s="180" t="s">
        <v>29</v>
      </c>
    </row>
    <row r="19" spans="1:13" ht="60">
      <c r="A19" s="159">
        <v>4</v>
      </c>
      <c r="B19" s="163" t="s">
        <v>290</v>
      </c>
      <c r="C19" s="163" t="s">
        <v>37</v>
      </c>
      <c r="D19" s="159" t="s">
        <v>14</v>
      </c>
      <c r="E19" s="159" t="s">
        <v>282</v>
      </c>
      <c r="F19" s="159" t="s">
        <v>291</v>
      </c>
      <c r="G19" s="164">
        <v>55000</v>
      </c>
      <c r="H19" s="164">
        <v>1578.5</v>
      </c>
      <c r="I19" s="164">
        <v>2559.67</v>
      </c>
      <c r="J19" s="164">
        <v>1672</v>
      </c>
      <c r="K19" s="164">
        <v>225</v>
      </c>
      <c r="L19" s="164">
        <f>H19+I19+J19+K19</f>
        <v>6035.17</v>
      </c>
      <c r="M19" s="164">
        <f>+G19-L19</f>
        <v>48964.83</v>
      </c>
    </row>
    <row r="20" spans="1:13" ht="31.5">
      <c r="A20" s="176" t="s">
        <v>24</v>
      </c>
      <c r="B20" s="177"/>
      <c r="C20" s="177"/>
      <c r="D20" s="177"/>
      <c r="E20" s="177"/>
      <c r="F20" s="177" t="s">
        <v>286</v>
      </c>
      <c r="G20" s="178">
        <f>+G19</f>
        <v>55000</v>
      </c>
      <c r="H20" s="178">
        <f t="shared" ref="H20" si="3">+H19</f>
        <v>1578.5</v>
      </c>
      <c r="I20" s="178">
        <f>+I19</f>
        <v>2559.67</v>
      </c>
      <c r="J20" s="178">
        <f>+J19</f>
        <v>1672</v>
      </c>
      <c r="K20" s="178">
        <f t="shared" ref="K20:M20" si="4">+K19</f>
        <v>225</v>
      </c>
      <c r="L20" s="178">
        <f t="shared" si="4"/>
        <v>6035.17</v>
      </c>
      <c r="M20" s="178">
        <f t="shared" si="4"/>
        <v>48964.83</v>
      </c>
    </row>
    <row r="21" spans="1:13" ht="27" thickBot="1">
      <c r="A21" s="171" t="s">
        <v>292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3"/>
    </row>
    <row r="22" spans="1:13" ht="18.75" thickBot="1">
      <c r="A22" s="180" t="s">
        <v>0</v>
      </c>
      <c r="B22" s="180" t="s">
        <v>1</v>
      </c>
      <c r="C22" s="180" t="s">
        <v>2</v>
      </c>
      <c r="D22" s="180" t="s">
        <v>13</v>
      </c>
      <c r="E22" s="180" t="s">
        <v>3</v>
      </c>
      <c r="F22" s="180" t="s">
        <v>279</v>
      </c>
      <c r="G22" s="180" t="s">
        <v>28</v>
      </c>
      <c r="H22" s="180" t="s">
        <v>4</v>
      </c>
      <c r="I22" s="180" t="s">
        <v>6</v>
      </c>
      <c r="J22" s="180" t="s">
        <v>5</v>
      </c>
      <c r="K22" s="180" t="s">
        <v>31</v>
      </c>
      <c r="L22" s="180" t="s">
        <v>30</v>
      </c>
      <c r="M22" s="180" t="s">
        <v>29</v>
      </c>
    </row>
    <row r="23" spans="1:13" ht="135">
      <c r="A23" s="159">
        <v>5</v>
      </c>
      <c r="B23" s="163" t="s">
        <v>293</v>
      </c>
      <c r="C23" s="163" t="s">
        <v>294</v>
      </c>
      <c r="D23" s="159" t="s">
        <v>15</v>
      </c>
      <c r="E23" s="159" t="s">
        <v>282</v>
      </c>
      <c r="F23" s="159" t="s">
        <v>295</v>
      </c>
      <c r="G23" s="181">
        <v>122500</v>
      </c>
      <c r="H23" s="181">
        <v>3515.75</v>
      </c>
      <c r="I23" s="181">
        <v>16438.11</v>
      </c>
      <c r="J23" s="181">
        <v>3724</v>
      </c>
      <c r="K23" s="181">
        <v>6314.56</v>
      </c>
      <c r="L23" s="181">
        <f>H23+I23+J23+K23</f>
        <v>29992.420000000002</v>
      </c>
      <c r="M23" s="181">
        <f>+G23-L23</f>
        <v>92507.58</v>
      </c>
    </row>
    <row r="24" spans="1:13" ht="90">
      <c r="A24" s="159">
        <v>6</v>
      </c>
      <c r="B24" s="163" t="s">
        <v>296</v>
      </c>
      <c r="C24" s="163" t="s">
        <v>297</v>
      </c>
      <c r="D24" s="177" t="s">
        <v>15</v>
      </c>
      <c r="E24" s="159" t="s">
        <v>282</v>
      </c>
      <c r="F24" s="159" t="s">
        <v>283</v>
      </c>
      <c r="G24" s="161">
        <v>65000</v>
      </c>
      <c r="H24" s="161">
        <f>G24*0.0287</f>
        <v>1865.5</v>
      </c>
      <c r="I24" s="161">
        <v>4427.55</v>
      </c>
      <c r="J24" s="161">
        <v>1976</v>
      </c>
      <c r="K24" s="161">
        <v>3468.5</v>
      </c>
      <c r="L24" s="161">
        <f>H24+I24+J24+K24</f>
        <v>11737.55</v>
      </c>
      <c r="M24" s="161">
        <f>G24-L24</f>
        <v>53262.45</v>
      </c>
    </row>
    <row r="25" spans="1:13" ht="90">
      <c r="A25" s="159">
        <v>7</v>
      </c>
      <c r="B25" s="163" t="s">
        <v>298</v>
      </c>
      <c r="C25" s="163" t="s">
        <v>299</v>
      </c>
      <c r="D25" s="159" t="s">
        <v>15</v>
      </c>
      <c r="E25" s="159" t="s">
        <v>282</v>
      </c>
      <c r="F25" s="159" t="s">
        <v>300</v>
      </c>
      <c r="G25" s="164">
        <v>55000</v>
      </c>
      <c r="H25" s="164">
        <v>1578.5</v>
      </c>
      <c r="I25" s="164">
        <v>2559.67</v>
      </c>
      <c r="J25" s="164">
        <v>1672</v>
      </c>
      <c r="K25" s="164">
        <v>1125</v>
      </c>
      <c r="L25" s="164">
        <f>H25+I25+J25+K25</f>
        <v>6935.17</v>
      </c>
      <c r="M25" s="164">
        <f>G25-L25</f>
        <v>48064.83</v>
      </c>
    </row>
    <row r="26" spans="1:13" ht="32.25" thickBot="1">
      <c r="A26" s="176" t="s">
        <v>24</v>
      </c>
      <c r="B26" s="177"/>
      <c r="C26" s="177"/>
      <c r="D26" s="177"/>
      <c r="E26" s="177"/>
      <c r="F26" s="177" t="s">
        <v>286</v>
      </c>
      <c r="G26" s="178">
        <f t="shared" ref="G26:M26" si="5">SUM(G23:G25)</f>
        <v>242500</v>
      </c>
      <c r="H26" s="178">
        <f t="shared" si="5"/>
        <v>6959.75</v>
      </c>
      <c r="I26" s="178">
        <f t="shared" si="5"/>
        <v>23425.33</v>
      </c>
      <c r="J26" s="178">
        <f t="shared" si="5"/>
        <v>7372</v>
      </c>
      <c r="K26" s="178">
        <f t="shared" si="5"/>
        <v>10908.060000000001</v>
      </c>
      <c r="L26" s="178">
        <f t="shared" si="5"/>
        <v>48665.14</v>
      </c>
      <c r="M26" s="178">
        <f t="shared" si="5"/>
        <v>193834.86</v>
      </c>
    </row>
    <row r="27" spans="1:13" ht="27" thickBot="1">
      <c r="A27" s="182" t="s">
        <v>301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4"/>
    </row>
    <row r="28" spans="1:13" ht="18.75" thickBot="1">
      <c r="A28" s="180" t="s">
        <v>0</v>
      </c>
      <c r="B28" s="180" t="s">
        <v>1</v>
      </c>
      <c r="C28" s="180" t="s">
        <v>2</v>
      </c>
      <c r="D28" s="180" t="s">
        <v>13</v>
      </c>
      <c r="E28" s="180" t="s">
        <v>3</v>
      </c>
      <c r="F28" s="180" t="s">
        <v>279</v>
      </c>
      <c r="G28" s="180" t="s">
        <v>28</v>
      </c>
      <c r="H28" s="180" t="s">
        <v>4</v>
      </c>
      <c r="I28" s="180" t="s">
        <v>6</v>
      </c>
      <c r="J28" s="180" t="s">
        <v>5</v>
      </c>
      <c r="K28" s="180" t="s">
        <v>31</v>
      </c>
      <c r="L28" s="180" t="s">
        <v>30</v>
      </c>
      <c r="M28" s="180" t="s">
        <v>29</v>
      </c>
    </row>
    <row r="29" spans="1:13" ht="75">
      <c r="A29" s="159">
        <v>8</v>
      </c>
      <c r="B29" s="163" t="s">
        <v>302</v>
      </c>
      <c r="C29" s="158" t="s">
        <v>303</v>
      </c>
      <c r="D29" s="159" t="s">
        <v>15</v>
      </c>
      <c r="E29" s="159" t="s">
        <v>282</v>
      </c>
      <c r="F29" s="159" t="s">
        <v>304</v>
      </c>
      <c r="G29" s="164">
        <v>45000</v>
      </c>
      <c r="H29" s="164">
        <f>G29*2.87%</f>
        <v>1291.5</v>
      </c>
      <c r="I29" s="164">
        <v>1148.32</v>
      </c>
      <c r="J29" s="185">
        <v>1368</v>
      </c>
      <c r="K29" s="164">
        <v>1125</v>
      </c>
      <c r="L29" s="164">
        <f>H29+I29+J29+K29</f>
        <v>4932.82</v>
      </c>
      <c r="M29" s="164">
        <f>+G29-L29</f>
        <v>40067.18</v>
      </c>
    </row>
    <row r="30" spans="1:13" ht="31.5">
      <c r="A30" s="176" t="s">
        <v>24</v>
      </c>
      <c r="B30" s="177"/>
      <c r="C30" s="177"/>
      <c r="D30" s="177"/>
      <c r="E30" s="177"/>
      <c r="F30" s="177" t="s">
        <v>286</v>
      </c>
      <c r="G30" s="178">
        <f>+G29</f>
        <v>45000</v>
      </c>
      <c r="H30" s="178">
        <f>+H29</f>
        <v>1291.5</v>
      </c>
      <c r="I30" s="178">
        <v>1148.32</v>
      </c>
      <c r="J30" s="178">
        <v>1368</v>
      </c>
      <c r="K30" s="178">
        <f>+K29</f>
        <v>1125</v>
      </c>
      <c r="L30" s="178">
        <f>+L29</f>
        <v>4932.82</v>
      </c>
      <c r="M30" s="178">
        <f>+M29</f>
        <v>40067.18</v>
      </c>
    </row>
    <row r="31" spans="1:13" ht="16.5" thickBot="1">
      <c r="A31" s="176"/>
      <c r="B31" s="177"/>
      <c r="C31" s="177"/>
      <c r="D31" s="177"/>
      <c r="E31" s="177"/>
      <c r="F31" s="177"/>
      <c r="G31" s="178"/>
      <c r="H31" s="178"/>
      <c r="I31" s="178"/>
      <c r="J31" s="178"/>
      <c r="K31" s="178"/>
      <c r="L31" s="178"/>
      <c r="M31" s="178"/>
    </row>
    <row r="32" spans="1:13" ht="27" thickBot="1">
      <c r="A32" s="186" t="s">
        <v>305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8"/>
    </row>
    <row r="33" spans="1:13" ht="18.75" thickBot="1">
      <c r="A33" s="189" t="s">
        <v>0</v>
      </c>
      <c r="B33" s="190" t="s">
        <v>1</v>
      </c>
      <c r="C33" s="190" t="s">
        <v>2</v>
      </c>
      <c r="D33" s="190" t="s">
        <v>13</v>
      </c>
      <c r="E33" s="190" t="s">
        <v>3</v>
      </c>
      <c r="F33" s="190" t="s">
        <v>279</v>
      </c>
      <c r="G33" s="190" t="s">
        <v>28</v>
      </c>
      <c r="H33" s="190" t="s">
        <v>4</v>
      </c>
      <c r="I33" s="190" t="s">
        <v>6</v>
      </c>
      <c r="J33" s="190" t="s">
        <v>5</v>
      </c>
      <c r="K33" s="190" t="s">
        <v>31</v>
      </c>
      <c r="L33" s="190" t="s">
        <v>30</v>
      </c>
      <c r="M33" s="191" t="s">
        <v>29</v>
      </c>
    </row>
    <row r="34" spans="1:13" ht="103.5">
      <c r="A34" s="192">
        <v>9</v>
      </c>
      <c r="B34" s="193" t="s">
        <v>306</v>
      </c>
      <c r="C34" s="193" t="s">
        <v>307</v>
      </c>
      <c r="D34" s="194" t="s">
        <v>14</v>
      </c>
      <c r="E34" s="159" t="s">
        <v>282</v>
      </c>
      <c r="F34" s="159" t="s">
        <v>283</v>
      </c>
      <c r="G34" s="195">
        <v>82500</v>
      </c>
      <c r="H34" s="195">
        <f>G34*0.0287</f>
        <v>2367.75</v>
      </c>
      <c r="I34" s="195">
        <v>7989</v>
      </c>
      <c r="J34" s="195">
        <v>2508</v>
      </c>
      <c r="K34" s="195">
        <v>15492.2</v>
      </c>
      <c r="L34" s="195">
        <f>SUM(H34:K34)</f>
        <v>28356.95</v>
      </c>
      <c r="M34" s="195">
        <f>+G34-L34</f>
        <v>54143.05</v>
      </c>
    </row>
    <row r="35" spans="1:13" ht="31.5">
      <c r="A35" s="176" t="s">
        <v>24</v>
      </c>
      <c r="B35" s="196"/>
      <c r="C35" s="196"/>
      <c r="D35" s="197"/>
      <c r="E35" s="197"/>
      <c r="F35" s="197"/>
      <c r="G35" s="178">
        <f t="shared" ref="G35:M35" si="6">SUM(G34:G34)</f>
        <v>82500</v>
      </c>
      <c r="H35" s="179">
        <f t="shared" si="6"/>
        <v>2367.75</v>
      </c>
      <c r="I35" s="179">
        <f t="shared" si="6"/>
        <v>7989</v>
      </c>
      <c r="J35" s="179">
        <f t="shared" si="6"/>
        <v>2508</v>
      </c>
      <c r="K35" s="179">
        <f t="shared" si="6"/>
        <v>15492.2</v>
      </c>
      <c r="L35" s="179">
        <f t="shared" si="6"/>
        <v>28356.95</v>
      </c>
      <c r="M35" s="179">
        <f t="shared" si="6"/>
        <v>54143.05</v>
      </c>
    </row>
    <row r="36" spans="1:13" ht="15.75">
      <c r="A36" s="176"/>
      <c r="B36" s="177"/>
      <c r="C36" s="177"/>
      <c r="D36" s="177"/>
      <c r="E36" s="177"/>
      <c r="G36" s="178"/>
      <c r="H36" s="178"/>
      <c r="I36" s="178"/>
      <c r="J36" s="178"/>
      <c r="K36" s="178"/>
      <c r="L36" s="178"/>
      <c r="M36" s="178"/>
    </row>
    <row r="37" spans="1:13" ht="16.5" thickBot="1">
      <c r="A37" s="176"/>
      <c r="B37" s="177"/>
      <c r="C37" s="177"/>
      <c r="D37" s="177"/>
      <c r="E37" s="177"/>
      <c r="G37" s="178"/>
      <c r="H37" s="178"/>
      <c r="I37" s="178"/>
      <c r="J37" s="178"/>
      <c r="K37" s="178"/>
      <c r="L37" s="178"/>
      <c r="M37" s="178"/>
    </row>
    <row r="38" spans="1:13" ht="27" thickBot="1">
      <c r="A38" s="182" t="s">
        <v>308</v>
      </c>
      <c r="B38" s="183"/>
      <c r="C38" s="183"/>
      <c r="D38" s="183"/>
      <c r="E38" s="183"/>
      <c r="F38" s="183"/>
      <c r="G38" s="187"/>
      <c r="H38" s="187"/>
      <c r="I38" s="187"/>
      <c r="J38" s="187"/>
      <c r="K38" s="187"/>
      <c r="L38" s="187"/>
      <c r="M38" s="188"/>
    </row>
    <row r="39" spans="1:13" ht="18.75" thickBot="1">
      <c r="A39" s="180" t="s">
        <v>0</v>
      </c>
      <c r="B39" s="180" t="s">
        <v>1</v>
      </c>
      <c r="C39" s="180" t="s">
        <v>2</v>
      </c>
      <c r="D39" s="180" t="s">
        <v>13</v>
      </c>
      <c r="E39" s="180" t="s">
        <v>3</v>
      </c>
      <c r="F39" s="198" t="s">
        <v>279</v>
      </c>
      <c r="G39" s="189" t="s">
        <v>28</v>
      </c>
      <c r="H39" s="190" t="s">
        <v>4</v>
      </c>
      <c r="I39" s="190" t="s">
        <v>6</v>
      </c>
      <c r="J39" s="190" t="s">
        <v>5</v>
      </c>
      <c r="K39" s="190" t="s">
        <v>31</v>
      </c>
      <c r="L39" s="190" t="s">
        <v>30</v>
      </c>
      <c r="M39" s="199" t="s">
        <v>29</v>
      </c>
    </row>
    <row r="40" spans="1:13" ht="69">
      <c r="A40" s="192">
        <v>10</v>
      </c>
      <c r="B40" s="193" t="s">
        <v>309</v>
      </c>
      <c r="C40" s="193" t="s">
        <v>9</v>
      </c>
      <c r="D40" s="194" t="s">
        <v>14</v>
      </c>
      <c r="E40" s="159" t="s">
        <v>282</v>
      </c>
      <c r="F40" s="159" t="s">
        <v>310</v>
      </c>
      <c r="G40" s="200">
        <v>48000</v>
      </c>
      <c r="H40" s="200">
        <v>1377.6</v>
      </c>
      <c r="I40" s="200">
        <v>1571.73</v>
      </c>
      <c r="J40" s="200">
        <f>IF(G40&lt;75829.93,G40*0.0304,2305.23)</f>
        <v>1459.2</v>
      </c>
      <c r="K40" s="200">
        <v>225</v>
      </c>
      <c r="L40" s="200">
        <f>H40+J40+I40+K40</f>
        <v>4633.5300000000007</v>
      </c>
      <c r="M40" s="200">
        <f t="shared" ref="M40" si="7">+G40-L40</f>
        <v>43366.47</v>
      </c>
    </row>
    <row r="41" spans="1:13" ht="103.5">
      <c r="A41" s="192">
        <v>11</v>
      </c>
      <c r="B41" s="193" t="s">
        <v>311</v>
      </c>
      <c r="C41" s="193" t="s">
        <v>270</v>
      </c>
      <c r="D41" s="194" t="s">
        <v>14</v>
      </c>
      <c r="E41" s="159" t="s">
        <v>282</v>
      </c>
      <c r="F41" s="159" t="s">
        <v>295</v>
      </c>
      <c r="G41" s="201">
        <v>65000</v>
      </c>
      <c r="H41" s="201">
        <v>1865.5</v>
      </c>
      <c r="I41" s="201">
        <v>4043.59</v>
      </c>
      <c r="J41" s="201">
        <v>1976</v>
      </c>
      <c r="K41" s="201">
        <v>1944.78</v>
      </c>
      <c r="L41" s="201">
        <f>H41+I41+J41+K41</f>
        <v>9829.8700000000008</v>
      </c>
      <c r="M41" s="201">
        <f>G41-L41</f>
        <v>55170.13</v>
      </c>
    </row>
    <row r="42" spans="1:13" ht="32.25" thickBot="1">
      <c r="A42" s="176" t="s">
        <v>24</v>
      </c>
      <c r="B42" s="163"/>
      <c r="C42" s="163"/>
      <c r="D42" s="177"/>
      <c r="E42" s="177"/>
      <c r="F42" s="177"/>
      <c r="G42" s="178">
        <f>SUM(G40:G41)</f>
        <v>113000</v>
      </c>
      <c r="H42" s="178">
        <f>SUM(H40:H41)</f>
        <v>3243.1</v>
      </c>
      <c r="I42" s="202" t="s">
        <v>312</v>
      </c>
      <c r="J42" s="203">
        <f>SUM(J40:J41)</f>
        <v>3435.2</v>
      </c>
      <c r="K42" s="178">
        <f>SUM(K40:K41)</f>
        <v>2169.7799999999997</v>
      </c>
      <c r="L42" s="178">
        <f>SUM(L40:L41)</f>
        <v>14463.400000000001</v>
      </c>
      <c r="M42" s="178">
        <f>SUM(M40:M41)</f>
        <v>98536.6</v>
      </c>
    </row>
    <row r="43" spans="1:13" ht="27" thickBot="1">
      <c r="A43" s="182" t="s">
        <v>313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4"/>
    </row>
    <row r="44" spans="1:13" ht="18.75" thickBot="1">
      <c r="A44" s="180" t="s">
        <v>0</v>
      </c>
      <c r="B44" s="180" t="s">
        <v>1</v>
      </c>
      <c r="C44" s="180" t="s">
        <v>2</v>
      </c>
      <c r="D44" s="180" t="s">
        <v>13</v>
      </c>
      <c r="E44" s="180" t="s">
        <v>3</v>
      </c>
      <c r="F44" s="180" t="s">
        <v>279</v>
      </c>
      <c r="G44" s="180" t="s">
        <v>28</v>
      </c>
      <c r="H44" s="180" t="s">
        <v>4</v>
      </c>
      <c r="I44" s="180" t="s">
        <v>6</v>
      </c>
      <c r="J44" s="180" t="s">
        <v>5</v>
      </c>
      <c r="K44" s="180" t="s">
        <v>31</v>
      </c>
      <c r="L44" s="180" t="s">
        <v>30</v>
      </c>
      <c r="M44" s="180" t="s">
        <v>29</v>
      </c>
    </row>
    <row r="45" spans="1:13" ht="90">
      <c r="A45" s="159">
        <v>12</v>
      </c>
      <c r="B45" s="163" t="s">
        <v>314</v>
      </c>
      <c r="C45" s="163" t="s">
        <v>315</v>
      </c>
      <c r="D45" s="177" t="s">
        <v>14</v>
      </c>
      <c r="E45" s="159" t="s">
        <v>282</v>
      </c>
      <c r="F45" s="204" t="s">
        <v>316</v>
      </c>
      <c r="G45" s="161">
        <v>90000</v>
      </c>
      <c r="H45" s="161">
        <f>G45*0.0287</f>
        <v>2583</v>
      </c>
      <c r="I45" s="161">
        <v>9273.24</v>
      </c>
      <c r="J45" s="161">
        <v>2736</v>
      </c>
      <c r="K45" s="161">
        <v>1944.78</v>
      </c>
      <c r="L45" s="161">
        <f>+H45+J45+I45+K45</f>
        <v>16537.02</v>
      </c>
      <c r="M45" s="161">
        <f>G45-L45</f>
        <v>73462.98</v>
      </c>
    </row>
    <row r="46" spans="1:13" ht="105">
      <c r="A46" s="159">
        <v>13</v>
      </c>
      <c r="B46" s="163" t="s">
        <v>317</v>
      </c>
      <c r="C46" s="163" t="s">
        <v>318</v>
      </c>
      <c r="D46" s="177" t="s">
        <v>15</v>
      </c>
      <c r="E46" s="159" t="s">
        <v>282</v>
      </c>
      <c r="F46" s="204" t="s">
        <v>316</v>
      </c>
      <c r="G46" s="161">
        <v>80000</v>
      </c>
      <c r="H46" s="161">
        <f>G46*0.0287</f>
        <v>2296</v>
      </c>
      <c r="I46" s="161">
        <v>7400.94</v>
      </c>
      <c r="J46" s="161">
        <v>2432</v>
      </c>
      <c r="K46" s="161">
        <v>1625</v>
      </c>
      <c r="L46" s="161">
        <f>+H46+J46+I46+K46</f>
        <v>13753.939999999999</v>
      </c>
      <c r="M46" s="161">
        <f>+G46-L46</f>
        <v>66246.06</v>
      </c>
    </row>
    <row r="47" spans="1:13" ht="60">
      <c r="A47" s="159">
        <v>14</v>
      </c>
      <c r="B47" s="163" t="s">
        <v>319</v>
      </c>
      <c r="C47" s="163" t="s">
        <v>34</v>
      </c>
      <c r="D47" s="159" t="s">
        <v>14</v>
      </c>
      <c r="E47" s="159" t="s">
        <v>282</v>
      </c>
      <c r="F47" s="204" t="s">
        <v>316</v>
      </c>
      <c r="G47" s="161">
        <v>60000</v>
      </c>
      <c r="H47" s="161">
        <f t="shared" ref="H47" si="8">G47*0.0287</f>
        <v>1722</v>
      </c>
      <c r="I47" s="161">
        <v>3102.69</v>
      </c>
      <c r="J47" s="161">
        <v>1824</v>
      </c>
      <c r="K47" s="161">
        <v>3144.78</v>
      </c>
      <c r="L47" s="161">
        <f>H47+I47+J47+K47</f>
        <v>9793.4700000000012</v>
      </c>
      <c r="M47" s="161">
        <f t="shared" ref="M47" si="9">+G47-L47</f>
        <v>50206.53</v>
      </c>
    </row>
    <row r="48" spans="1:13" ht="90">
      <c r="A48" s="159">
        <v>15</v>
      </c>
      <c r="B48" s="163" t="s">
        <v>320</v>
      </c>
      <c r="C48" s="163" t="s">
        <v>321</v>
      </c>
      <c r="D48" s="177" t="s">
        <v>14</v>
      </c>
      <c r="E48" s="159" t="s">
        <v>282</v>
      </c>
      <c r="F48" s="159" t="s">
        <v>283</v>
      </c>
      <c r="G48" s="164">
        <v>101500</v>
      </c>
      <c r="H48" s="164">
        <f>G48*0.0287</f>
        <v>2913.05</v>
      </c>
      <c r="I48" s="164">
        <v>11978.33</v>
      </c>
      <c r="J48" s="164">
        <v>3085.6</v>
      </c>
      <c r="K48" s="164">
        <v>2144.7800000000002</v>
      </c>
      <c r="L48" s="164">
        <f>H48+I48+J48+K48</f>
        <v>20121.759999999998</v>
      </c>
      <c r="M48" s="164">
        <f>+G48-L48</f>
        <v>81378.240000000005</v>
      </c>
    </row>
    <row r="49" spans="1:13" ht="32.25" thickBot="1">
      <c r="A49" s="176" t="s">
        <v>24</v>
      </c>
      <c r="B49" s="197"/>
      <c r="C49" s="197"/>
      <c r="D49" s="197"/>
      <c r="E49" s="197"/>
      <c r="F49" s="197"/>
      <c r="G49" s="178">
        <f t="shared" ref="G49:M49" si="10">SUM(G45:G48)</f>
        <v>331500</v>
      </c>
      <c r="H49" s="178">
        <f t="shared" si="10"/>
        <v>9514.0499999999993</v>
      </c>
      <c r="I49" s="178">
        <f t="shared" si="10"/>
        <v>31755.199999999997</v>
      </c>
      <c r="J49" s="178">
        <f t="shared" si="10"/>
        <v>10077.6</v>
      </c>
      <c r="K49" s="178">
        <f t="shared" si="10"/>
        <v>8859.34</v>
      </c>
      <c r="L49" s="178">
        <f t="shared" si="10"/>
        <v>60206.19</v>
      </c>
      <c r="M49" s="178">
        <f t="shared" si="10"/>
        <v>271293.81</v>
      </c>
    </row>
    <row r="50" spans="1:13" ht="21" thickBot="1">
      <c r="A50" s="205" t="s">
        <v>276</v>
      </c>
      <c r="B50" s="206" t="s">
        <v>26</v>
      </c>
      <c r="C50" s="207" t="s">
        <v>16</v>
      </c>
      <c r="D50" s="207" t="s">
        <v>322</v>
      </c>
      <c r="E50" s="207" t="s">
        <v>18</v>
      </c>
      <c r="F50" s="207"/>
      <c r="G50" s="207" t="s">
        <v>27</v>
      </c>
      <c r="H50" s="207" t="s">
        <v>19</v>
      </c>
      <c r="I50" s="207" t="s">
        <v>11</v>
      </c>
      <c r="J50" s="207" t="s">
        <v>277</v>
      </c>
      <c r="K50" s="207" t="s">
        <v>20</v>
      </c>
      <c r="L50" s="207"/>
      <c r="M50" s="208"/>
    </row>
    <row r="51" spans="1:13" ht="27" thickBot="1">
      <c r="A51" s="182" t="s">
        <v>323</v>
      </c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4"/>
    </row>
    <row r="52" spans="1:13" ht="18.75" thickBot="1">
      <c r="A52" s="180" t="s">
        <v>0</v>
      </c>
      <c r="B52" s="180" t="s">
        <v>1</v>
      </c>
      <c r="C52" s="180" t="s">
        <v>2</v>
      </c>
      <c r="D52" s="180" t="s">
        <v>13</v>
      </c>
      <c r="E52" s="180" t="s">
        <v>3</v>
      </c>
      <c r="F52" s="180" t="s">
        <v>279</v>
      </c>
      <c r="G52" s="180" t="s">
        <v>28</v>
      </c>
      <c r="H52" s="180" t="s">
        <v>4</v>
      </c>
      <c r="I52" s="180" t="s">
        <v>6</v>
      </c>
      <c r="J52" s="180" t="s">
        <v>5</v>
      </c>
      <c r="K52" s="180" t="s">
        <v>31</v>
      </c>
      <c r="L52" s="180" t="s">
        <v>30</v>
      </c>
      <c r="M52" s="180" t="s">
        <v>29</v>
      </c>
    </row>
    <row r="53" spans="1:13" ht="135">
      <c r="A53" s="159">
        <v>16</v>
      </c>
      <c r="B53" s="163" t="s">
        <v>324</v>
      </c>
      <c r="C53" s="163" t="s">
        <v>325</v>
      </c>
      <c r="D53" s="159" t="s">
        <v>15</v>
      </c>
      <c r="E53" s="159" t="s">
        <v>282</v>
      </c>
      <c r="F53" s="159" t="s">
        <v>283</v>
      </c>
      <c r="G53" s="161">
        <v>101500</v>
      </c>
      <c r="H53" s="161">
        <v>2913.05</v>
      </c>
      <c r="I53" s="161">
        <v>0</v>
      </c>
      <c r="J53" s="161">
        <v>3085.6</v>
      </c>
      <c r="K53" s="161">
        <v>5438.08</v>
      </c>
      <c r="L53" s="161">
        <f>H53+J53+I53+K53</f>
        <v>11436.73</v>
      </c>
      <c r="M53" s="161">
        <f>+G53-L53</f>
        <v>90063.27</v>
      </c>
    </row>
    <row r="54" spans="1:13" ht="69">
      <c r="A54" s="159">
        <v>17</v>
      </c>
      <c r="B54" s="193" t="s">
        <v>326</v>
      </c>
      <c r="C54" s="193" t="s">
        <v>327</v>
      </c>
      <c r="D54" s="194" t="s">
        <v>15</v>
      </c>
      <c r="E54" s="159" t="s">
        <v>282</v>
      </c>
      <c r="F54" s="159" t="s">
        <v>283</v>
      </c>
      <c r="G54" s="200">
        <v>60000</v>
      </c>
      <c r="H54" s="200">
        <v>1722</v>
      </c>
      <c r="I54" s="200">
        <v>3102.69</v>
      </c>
      <c r="J54" s="200">
        <v>1824</v>
      </c>
      <c r="K54" s="200">
        <v>2659.28</v>
      </c>
      <c r="L54" s="161">
        <f>H54+J54+I54+K54</f>
        <v>9307.9700000000012</v>
      </c>
      <c r="M54" s="200">
        <f>+G54-L54</f>
        <v>50692.03</v>
      </c>
    </row>
    <row r="55" spans="1:13" ht="32.25" thickBot="1">
      <c r="A55" s="176" t="s">
        <v>24</v>
      </c>
      <c r="B55" s="197"/>
      <c r="C55" s="197"/>
      <c r="D55" s="197"/>
      <c r="E55" s="197"/>
      <c r="F55" s="197"/>
      <c r="G55" s="178">
        <f t="shared" ref="G55:M55" si="11">SUM(G53:G54)</f>
        <v>161500</v>
      </c>
      <c r="H55" s="178">
        <f t="shared" si="11"/>
        <v>4635.05</v>
      </c>
      <c r="I55" s="178">
        <f t="shared" si="11"/>
        <v>3102.69</v>
      </c>
      <c r="J55" s="178">
        <f t="shared" si="11"/>
        <v>4909.6000000000004</v>
      </c>
      <c r="K55" s="178">
        <f t="shared" si="11"/>
        <v>8097.3600000000006</v>
      </c>
      <c r="L55" s="178">
        <f t="shared" si="11"/>
        <v>20744.7</v>
      </c>
      <c r="M55" s="178">
        <f t="shared" si="11"/>
        <v>140755.29999999999</v>
      </c>
    </row>
    <row r="56" spans="1:13" ht="31.5" thickBot="1">
      <c r="A56" s="209" t="s">
        <v>328</v>
      </c>
      <c r="B56" s="210"/>
      <c r="C56" s="210"/>
      <c r="D56" s="210"/>
      <c r="E56" s="210"/>
      <c r="F56" s="210"/>
      <c r="G56" s="211"/>
      <c r="H56" s="211"/>
      <c r="I56" s="211"/>
      <c r="J56" s="211"/>
      <c r="K56" s="211"/>
      <c r="L56" s="211"/>
      <c r="M56" s="212"/>
    </row>
    <row r="57" spans="1:13" ht="18.75" thickBot="1">
      <c r="A57" s="180" t="s">
        <v>0</v>
      </c>
      <c r="B57" s="180" t="s">
        <v>1</v>
      </c>
      <c r="C57" s="180" t="s">
        <v>2</v>
      </c>
      <c r="D57" s="180" t="s">
        <v>13</v>
      </c>
      <c r="E57" s="180" t="s">
        <v>3</v>
      </c>
      <c r="F57" s="180" t="s">
        <v>279</v>
      </c>
      <c r="G57" s="213" t="s">
        <v>28</v>
      </c>
      <c r="H57" s="213" t="s">
        <v>4</v>
      </c>
      <c r="I57" s="213" t="s">
        <v>6</v>
      </c>
      <c r="J57" s="213" t="s">
        <v>5</v>
      </c>
      <c r="K57" s="213" t="s">
        <v>31</v>
      </c>
      <c r="L57" s="213" t="s">
        <v>30</v>
      </c>
      <c r="M57" s="213" t="s">
        <v>29</v>
      </c>
    </row>
    <row r="58" spans="1:13" ht="105">
      <c r="A58" s="192">
        <v>18</v>
      </c>
      <c r="B58" s="163" t="s">
        <v>329</v>
      </c>
      <c r="C58" s="163" t="s">
        <v>9</v>
      </c>
      <c r="D58" s="177" t="s">
        <v>15</v>
      </c>
      <c r="E58" s="159" t="s">
        <v>282</v>
      </c>
      <c r="F58" s="159" t="s">
        <v>283</v>
      </c>
      <c r="G58" s="161">
        <v>48000</v>
      </c>
      <c r="H58" s="161">
        <f t="shared" ref="H58" si="12">G58*0.0287</f>
        <v>1377.6</v>
      </c>
      <c r="I58" s="161">
        <v>1571.73</v>
      </c>
      <c r="J58" s="161">
        <f>IF(G58&lt;75829.93,G58*0.0304,2305.23)</f>
        <v>1459.2</v>
      </c>
      <c r="K58" s="161">
        <v>225</v>
      </c>
      <c r="L58" s="161">
        <f>H58+J58+I58+K58</f>
        <v>4633.5300000000007</v>
      </c>
      <c r="M58" s="161">
        <f t="shared" ref="M58" si="13">+G58-L58</f>
        <v>43366.47</v>
      </c>
    </row>
    <row r="59" spans="1:13" ht="31.5">
      <c r="A59" s="176" t="s">
        <v>24</v>
      </c>
      <c r="B59" s="197"/>
      <c r="C59" s="197"/>
      <c r="D59" s="197"/>
      <c r="E59" s="197"/>
      <c r="F59" s="197"/>
      <c r="G59" s="178">
        <v>48000</v>
      </c>
      <c r="H59" s="178">
        <v>1377.6</v>
      </c>
      <c r="I59" s="178">
        <v>1571.73</v>
      </c>
      <c r="J59" s="178">
        <v>1459.2</v>
      </c>
      <c r="K59" s="178">
        <v>225</v>
      </c>
      <c r="L59" s="178">
        <v>4633.53</v>
      </c>
      <c r="M59" s="178">
        <v>43366.47</v>
      </c>
    </row>
    <row r="60" spans="1:13" ht="16.5" thickBot="1">
      <c r="A60" s="176"/>
      <c r="B60" s="197"/>
      <c r="C60" s="197"/>
      <c r="D60" s="197"/>
      <c r="E60" s="197"/>
      <c r="F60" s="197"/>
      <c r="G60" s="178"/>
      <c r="H60" s="178"/>
      <c r="I60" s="178"/>
      <c r="J60" s="178"/>
      <c r="K60" s="178"/>
      <c r="L60" s="178"/>
      <c r="M60" s="178"/>
    </row>
    <row r="61" spans="1:13" ht="31.5" thickBot="1">
      <c r="A61" s="209" t="s">
        <v>330</v>
      </c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4"/>
    </row>
    <row r="62" spans="1:13" ht="18.75" thickBot="1">
      <c r="A62" s="180" t="s">
        <v>0</v>
      </c>
      <c r="B62" s="180" t="s">
        <v>1</v>
      </c>
      <c r="C62" s="180" t="s">
        <v>2</v>
      </c>
      <c r="D62" s="180" t="s">
        <v>13</v>
      </c>
      <c r="E62" s="180" t="s">
        <v>3</v>
      </c>
      <c r="F62" s="180" t="s">
        <v>279</v>
      </c>
      <c r="G62" s="180" t="s">
        <v>28</v>
      </c>
      <c r="H62" s="180" t="s">
        <v>4</v>
      </c>
      <c r="I62" s="180" t="s">
        <v>6</v>
      </c>
      <c r="J62" s="180" t="s">
        <v>5</v>
      </c>
      <c r="K62" s="180" t="s">
        <v>31</v>
      </c>
      <c r="L62" s="180" t="s">
        <v>30</v>
      </c>
      <c r="M62" s="180" t="s">
        <v>29</v>
      </c>
    </row>
    <row r="63" spans="1:13" ht="75">
      <c r="A63" s="159">
        <v>20</v>
      </c>
      <c r="B63" s="163" t="s">
        <v>331</v>
      </c>
      <c r="C63" s="163" t="s">
        <v>332</v>
      </c>
      <c r="D63" s="177" t="s">
        <v>15</v>
      </c>
      <c r="E63" s="159" t="s">
        <v>282</v>
      </c>
      <c r="F63" s="159" t="s">
        <v>283</v>
      </c>
      <c r="G63" s="161">
        <v>60000</v>
      </c>
      <c r="H63" s="161">
        <v>1722</v>
      </c>
      <c r="I63" s="161">
        <v>0</v>
      </c>
      <c r="J63" s="161">
        <f>IF(G63&lt;75829.93,G63*0.0304,2305.23)</f>
        <v>1824</v>
      </c>
      <c r="K63" s="161">
        <v>8057.48</v>
      </c>
      <c r="L63" s="161">
        <f>H63+J63+I63+K63</f>
        <v>11603.48</v>
      </c>
      <c r="M63" s="161">
        <f>+G63-L63</f>
        <v>48396.520000000004</v>
      </c>
    </row>
    <row r="64" spans="1:13" ht="75">
      <c r="A64" s="159">
        <v>21</v>
      </c>
      <c r="B64" s="163" t="s">
        <v>333</v>
      </c>
      <c r="C64" s="163" t="s">
        <v>9</v>
      </c>
      <c r="D64" s="177" t="s">
        <v>14</v>
      </c>
      <c r="E64" s="159" t="s">
        <v>282</v>
      </c>
      <c r="F64" s="159" t="s">
        <v>283</v>
      </c>
      <c r="G64" s="161">
        <v>48000</v>
      </c>
      <c r="H64" s="161">
        <f>G64*0.0287</f>
        <v>1377.6</v>
      </c>
      <c r="I64" s="161">
        <v>1571.73</v>
      </c>
      <c r="J64" s="161">
        <f>IF(G64&lt;75829.93,G64*0.0304,2305.23)</f>
        <v>1459.2</v>
      </c>
      <c r="K64" s="161">
        <v>225</v>
      </c>
      <c r="L64" s="161">
        <f>+K64+I64+J64+H64</f>
        <v>4633.5300000000007</v>
      </c>
      <c r="M64" s="161">
        <f>+G64-L64</f>
        <v>43366.47</v>
      </c>
    </row>
    <row r="65" spans="1:13" ht="75">
      <c r="A65" s="159">
        <v>22</v>
      </c>
      <c r="B65" s="163" t="s">
        <v>334</v>
      </c>
      <c r="C65" s="163" t="s">
        <v>12</v>
      </c>
      <c r="D65" s="177" t="s">
        <v>15</v>
      </c>
      <c r="E65" s="159" t="s">
        <v>282</v>
      </c>
      <c r="F65" s="159" t="s">
        <v>283</v>
      </c>
      <c r="G65" s="164">
        <v>60000</v>
      </c>
      <c r="H65" s="164">
        <f>G65*0.0287</f>
        <v>1722</v>
      </c>
      <c r="I65" s="164">
        <v>3486.65</v>
      </c>
      <c r="J65" s="164">
        <f>IF(G65&lt;75829.93,G65*0.0304,2305.23)</f>
        <v>1824</v>
      </c>
      <c r="K65" s="164">
        <v>4225</v>
      </c>
      <c r="L65" s="164">
        <f>+K65+I65+J65+H65</f>
        <v>11257.65</v>
      </c>
      <c r="M65" s="164">
        <f>+G65-L65</f>
        <v>48742.35</v>
      </c>
    </row>
    <row r="66" spans="1:13" ht="31.5">
      <c r="A66" s="176" t="s">
        <v>24</v>
      </c>
      <c r="B66" s="163"/>
      <c r="C66" s="163"/>
      <c r="D66" s="177"/>
      <c r="E66" s="159"/>
      <c r="F66" s="159" t="s">
        <v>335</v>
      </c>
      <c r="G66" s="178">
        <f t="shared" ref="G66:M66" si="14">SUM(G63:G65)</f>
        <v>168000</v>
      </c>
      <c r="H66" s="178">
        <f t="shared" si="14"/>
        <v>4821.6000000000004</v>
      </c>
      <c r="I66" s="178">
        <f>SUM(I63:I65)</f>
        <v>5058.38</v>
      </c>
      <c r="J66" s="178">
        <f t="shared" si="14"/>
        <v>5107.2</v>
      </c>
      <c r="K66" s="178">
        <f t="shared" si="14"/>
        <v>12507.48</v>
      </c>
      <c r="L66" s="179">
        <f t="shared" si="14"/>
        <v>27494.66</v>
      </c>
      <c r="M66" s="178">
        <f t="shared" si="14"/>
        <v>140505.34</v>
      </c>
    </row>
    <row r="67" spans="1:13" ht="15.75">
      <c r="A67" s="176"/>
      <c r="B67" s="163"/>
      <c r="C67" s="163"/>
      <c r="D67" s="177"/>
      <c r="E67" s="159"/>
      <c r="F67" s="159"/>
      <c r="G67" s="178"/>
      <c r="H67" s="178"/>
      <c r="I67" s="178"/>
      <c r="J67" s="178"/>
      <c r="K67" s="178"/>
      <c r="L67" s="179"/>
      <c r="M67" s="178"/>
    </row>
    <row r="68" spans="1:13" ht="15.75">
      <c r="A68" s="176"/>
      <c r="B68" s="163"/>
      <c r="C68" s="163"/>
      <c r="D68" s="177"/>
      <c r="E68" s="159"/>
      <c r="F68" s="159"/>
      <c r="G68" s="178"/>
      <c r="H68" s="178"/>
      <c r="I68" s="178"/>
      <c r="J68" s="178"/>
      <c r="K68" s="178"/>
      <c r="L68" s="179"/>
      <c r="M68" s="178"/>
    </row>
    <row r="69" spans="1:13" ht="16.5" thickBot="1">
      <c r="A69" s="176"/>
      <c r="B69" s="163"/>
      <c r="C69" s="163"/>
      <c r="D69" s="177"/>
      <c r="E69" s="159"/>
      <c r="F69" s="159"/>
      <c r="G69" s="178"/>
      <c r="H69" s="178"/>
      <c r="I69" s="178"/>
      <c r="J69" s="178"/>
      <c r="K69" s="178"/>
      <c r="L69" s="215"/>
      <c r="M69" s="178"/>
    </row>
    <row r="70" spans="1:13" ht="27" thickBot="1">
      <c r="A70" s="182" t="s">
        <v>336</v>
      </c>
      <c r="B70" s="183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4"/>
    </row>
    <row r="71" spans="1:13" ht="18.75" thickBot="1">
      <c r="A71" s="180" t="s">
        <v>0</v>
      </c>
      <c r="B71" s="180" t="s">
        <v>1</v>
      </c>
      <c r="C71" s="180" t="s">
        <v>2</v>
      </c>
      <c r="D71" s="180" t="s">
        <v>13</v>
      </c>
      <c r="E71" s="180" t="s">
        <v>3</v>
      </c>
      <c r="F71" s="180" t="s">
        <v>279</v>
      </c>
      <c r="G71" s="180" t="s">
        <v>28</v>
      </c>
      <c r="H71" s="180" t="s">
        <v>4</v>
      </c>
      <c r="I71" s="180" t="s">
        <v>6</v>
      </c>
      <c r="J71" s="180" t="s">
        <v>5</v>
      </c>
      <c r="K71" s="180" t="s">
        <v>31</v>
      </c>
      <c r="L71" s="180" t="s">
        <v>30</v>
      </c>
      <c r="M71" s="180" t="s">
        <v>29</v>
      </c>
    </row>
    <row r="72" spans="1:13" ht="51.75">
      <c r="A72" s="159">
        <v>23</v>
      </c>
      <c r="B72" s="193" t="s">
        <v>337</v>
      </c>
      <c r="C72" s="193" t="s">
        <v>33</v>
      </c>
      <c r="D72" s="194" t="s">
        <v>14</v>
      </c>
      <c r="E72" s="159" t="s">
        <v>282</v>
      </c>
      <c r="F72" s="159" t="s">
        <v>310</v>
      </c>
      <c r="G72" s="195">
        <v>48000</v>
      </c>
      <c r="H72" s="195">
        <f>G72*0.0287</f>
        <v>1377.6</v>
      </c>
      <c r="I72" s="195">
        <v>1571.73</v>
      </c>
      <c r="J72" s="195">
        <v>1459.2</v>
      </c>
      <c r="K72" s="195">
        <v>25</v>
      </c>
      <c r="L72" s="195">
        <v>0</v>
      </c>
      <c r="M72" s="195">
        <f>+G72-L72</f>
        <v>48000</v>
      </c>
    </row>
    <row r="73" spans="1:13" ht="32.25" thickBot="1">
      <c r="A73" s="176" t="s">
        <v>24</v>
      </c>
      <c r="B73" s="193"/>
      <c r="C73" s="193"/>
      <c r="D73" s="194"/>
      <c r="E73" s="159"/>
      <c r="F73" s="159"/>
      <c r="G73" s="216">
        <f>+G72</f>
        <v>48000</v>
      </c>
      <c r="H73" s="216">
        <f>G73*0.0287</f>
        <v>1377.6</v>
      </c>
      <c r="I73" s="216">
        <f>+I72</f>
        <v>1571.73</v>
      </c>
      <c r="J73" s="216">
        <f>+J72</f>
        <v>1459.2</v>
      </c>
      <c r="K73" s="216">
        <f>+K72</f>
        <v>25</v>
      </c>
      <c r="L73" s="216">
        <f>H73+J73+I73+K73</f>
        <v>4433.5300000000007</v>
      </c>
      <c r="M73" s="216">
        <f>+G73-L73</f>
        <v>43566.47</v>
      </c>
    </row>
    <row r="74" spans="1:13" ht="31.5" thickBot="1">
      <c r="A74" s="209" t="s">
        <v>338</v>
      </c>
      <c r="B74" s="210"/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4"/>
    </row>
    <row r="75" spans="1:13" ht="18.75" thickBot="1">
      <c r="A75" s="180" t="s">
        <v>0</v>
      </c>
      <c r="B75" s="180" t="s">
        <v>1</v>
      </c>
      <c r="C75" s="180" t="s">
        <v>2</v>
      </c>
      <c r="D75" s="180" t="s">
        <v>13</v>
      </c>
      <c r="E75" s="180" t="s">
        <v>3</v>
      </c>
      <c r="F75" s="180" t="s">
        <v>279</v>
      </c>
      <c r="G75" s="180" t="s">
        <v>28</v>
      </c>
      <c r="H75" s="180" t="s">
        <v>4</v>
      </c>
      <c r="I75" s="180" t="s">
        <v>6</v>
      </c>
      <c r="J75" s="180" t="s">
        <v>5</v>
      </c>
      <c r="K75" s="180" t="s">
        <v>31</v>
      </c>
      <c r="L75" s="180" t="s">
        <v>30</v>
      </c>
      <c r="M75" s="180" t="s">
        <v>29</v>
      </c>
    </row>
    <row r="76" spans="1:13" ht="17.25">
      <c r="A76" s="192">
        <v>24</v>
      </c>
      <c r="B76" s="217" t="s">
        <v>339</v>
      </c>
      <c r="C76" s="217" t="s">
        <v>340</v>
      </c>
      <c r="D76" s="192" t="s">
        <v>15</v>
      </c>
      <c r="E76" s="159" t="s">
        <v>282</v>
      </c>
      <c r="F76" s="159" t="s">
        <v>283</v>
      </c>
      <c r="G76" s="218">
        <v>60000</v>
      </c>
      <c r="H76" s="218">
        <f>G76*0.0287</f>
        <v>1722</v>
      </c>
      <c r="I76" s="161">
        <v>3486.65</v>
      </c>
      <c r="J76" s="218">
        <v>1824</v>
      </c>
      <c r="K76" s="218">
        <v>1225</v>
      </c>
      <c r="L76" s="219">
        <f>H76+J76+I76+K76</f>
        <v>8257.65</v>
      </c>
      <c r="M76" s="161">
        <f>+G76-L76</f>
        <v>51742.35</v>
      </c>
    </row>
    <row r="77" spans="1:13" ht="17.25">
      <c r="A77" s="192">
        <v>25</v>
      </c>
      <c r="B77" s="217" t="s">
        <v>341</v>
      </c>
      <c r="C77" s="217" t="s">
        <v>12</v>
      </c>
      <c r="D77" s="192" t="s">
        <v>14</v>
      </c>
      <c r="E77" s="159" t="s">
        <v>282</v>
      </c>
      <c r="F77" s="159" t="s">
        <v>283</v>
      </c>
      <c r="G77" s="218">
        <v>60000</v>
      </c>
      <c r="H77" s="218">
        <f t="shared" ref="H77:H80" si="15">G77*0.0287</f>
        <v>1722</v>
      </c>
      <c r="I77" s="161">
        <v>3486.65</v>
      </c>
      <c r="J77" s="218">
        <v>1824</v>
      </c>
      <c r="K77" s="218">
        <v>6287.3</v>
      </c>
      <c r="L77" s="219">
        <f>+H77+J77+I77+K77</f>
        <v>13319.95</v>
      </c>
      <c r="M77" s="161">
        <f>+G77-L77</f>
        <v>46680.05</v>
      </c>
    </row>
    <row r="78" spans="1:13" ht="75">
      <c r="A78" s="192">
        <v>26</v>
      </c>
      <c r="B78" s="163" t="s">
        <v>342</v>
      </c>
      <c r="C78" s="163" t="s">
        <v>340</v>
      </c>
      <c r="D78" s="177" t="s">
        <v>15</v>
      </c>
      <c r="E78" s="159" t="s">
        <v>282</v>
      </c>
      <c r="F78" s="159" t="s">
        <v>283</v>
      </c>
      <c r="G78" s="161">
        <v>60000</v>
      </c>
      <c r="H78" s="161">
        <f t="shared" si="15"/>
        <v>1722</v>
      </c>
      <c r="I78" s="161">
        <v>3486.65</v>
      </c>
      <c r="J78" s="161">
        <f>IF(G78&lt;75829.93,G78*0.0304,2305.23)</f>
        <v>1824</v>
      </c>
      <c r="K78" s="161">
        <v>1225</v>
      </c>
      <c r="L78" s="161">
        <f>H78+J78+I78+K78</f>
        <v>8257.65</v>
      </c>
      <c r="M78" s="161">
        <f t="shared" ref="M78:M80" si="16">+G78-L78</f>
        <v>51742.35</v>
      </c>
    </row>
    <row r="79" spans="1:13" ht="60">
      <c r="A79" s="192">
        <v>27</v>
      </c>
      <c r="B79" s="163" t="s">
        <v>343</v>
      </c>
      <c r="C79" s="163" t="s">
        <v>32</v>
      </c>
      <c r="D79" s="177" t="s">
        <v>15</v>
      </c>
      <c r="E79" s="159" t="s">
        <v>282</v>
      </c>
      <c r="F79" s="159" t="s">
        <v>283</v>
      </c>
      <c r="G79" s="161">
        <v>60000</v>
      </c>
      <c r="H79" s="161">
        <f t="shared" si="15"/>
        <v>1722</v>
      </c>
      <c r="I79" s="161">
        <v>3486.65</v>
      </c>
      <c r="J79" s="161">
        <v>1824</v>
      </c>
      <c r="K79" s="161">
        <v>1225</v>
      </c>
      <c r="L79" s="161">
        <f>H79+J79+I79+K79</f>
        <v>8257.65</v>
      </c>
      <c r="M79" s="161">
        <f>+G79-L79</f>
        <v>51742.35</v>
      </c>
    </row>
    <row r="80" spans="1:13" ht="75">
      <c r="A80" s="192">
        <v>28</v>
      </c>
      <c r="B80" s="163" t="s">
        <v>344</v>
      </c>
      <c r="C80" s="163" t="s">
        <v>340</v>
      </c>
      <c r="D80" s="177" t="s">
        <v>15</v>
      </c>
      <c r="E80" s="159" t="s">
        <v>282</v>
      </c>
      <c r="F80" s="159" t="s">
        <v>283</v>
      </c>
      <c r="G80" s="164">
        <v>60000</v>
      </c>
      <c r="H80" s="164">
        <f t="shared" si="15"/>
        <v>1722</v>
      </c>
      <c r="I80" s="164">
        <v>3486.65</v>
      </c>
      <c r="J80" s="164">
        <f>IF(G80&lt;75829.93,G80*0.0304,2305.23)</f>
        <v>1824</v>
      </c>
      <c r="K80" s="164">
        <v>1939.5</v>
      </c>
      <c r="L80" s="164">
        <f>H80+J80+I80+K80</f>
        <v>8972.15</v>
      </c>
      <c r="M80" s="164">
        <f t="shared" si="16"/>
        <v>51027.85</v>
      </c>
    </row>
    <row r="81" spans="1:13" ht="32.25" thickBot="1">
      <c r="A81" s="176" t="s">
        <v>24</v>
      </c>
      <c r="B81" s="163"/>
      <c r="C81" s="163"/>
      <c r="D81" s="177"/>
      <c r="E81" s="159"/>
      <c r="F81" s="159"/>
      <c r="G81" s="178">
        <f t="shared" ref="G81:M81" si="17">SUM(G76:G80)</f>
        <v>300000</v>
      </c>
      <c r="H81" s="178">
        <f t="shared" si="17"/>
        <v>8610</v>
      </c>
      <c r="I81" s="178">
        <f t="shared" si="17"/>
        <v>17433.25</v>
      </c>
      <c r="J81" s="178">
        <f t="shared" si="17"/>
        <v>9120</v>
      </c>
      <c r="K81" s="178">
        <f t="shared" si="17"/>
        <v>11901.8</v>
      </c>
      <c r="L81" s="178">
        <f t="shared" si="17"/>
        <v>47065.05</v>
      </c>
      <c r="M81" s="178">
        <f t="shared" si="17"/>
        <v>252934.95</v>
      </c>
    </row>
    <row r="82" spans="1:13" ht="31.5" thickBot="1">
      <c r="A82" s="209" t="s">
        <v>345</v>
      </c>
      <c r="B82" s="210"/>
      <c r="C82" s="210"/>
      <c r="D82" s="210"/>
      <c r="E82" s="210"/>
      <c r="F82" s="211"/>
      <c r="G82" s="211"/>
      <c r="H82" s="211"/>
      <c r="I82" s="211"/>
      <c r="J82" s="211"/>
      <c r="K82" s="211"/>
      <c r="L82" s="211"/>
      <c r="M82" s="212"/>
    </row>
    <row r="83" spans="1:13" ht="18.75" thickBot="1">
      <c r="A83" s="180" t="s">
        <v>0</v>
      </c>
      <c r="B83" s="180" t="s">
        <v>1</v>
      </c>
      <c r="C83" s="180" t="s">
        <v>2</v>
      </c>
      <c r="D83" s="180" t="s">
        <v>13</v>
      </c>
      <c r="E83" s="198" t="s">
        <v>3</v>
      </c>
      <c r="F83" s="220" t="s">
        <v>279</v>
      </c>
      <c r="G83" s="220" t="s">
        <v>28</v>
      </c>
      <c r="H83" s="220" t="s">
        <v>4</v>
      </c>
      <c r="I83" s="220" t="s">
        <v>6</v>
      </c>
      <c r="J83" s="220" t="s">
        <v>5</v>
      </c>
      <c r="K83" s="220" t="s">
        <v>31</v>
      </c>
      <c r="L83" s="220" t="s">
        <v>30</v>
      </c>
      <c r="M83" s="220" t="s">
        <v>29</v>
      </c>
    </row>
    <row r="84" spans="1:13" ht="60">
      <c r="A84" s="159">
        <v>29</v>
      </c>
      <c r="B84" s="163" t="s">
        <v>346</v>
      </c>
      <c r="C84" s="163" t="s">
        <v>12</v>
      </c>
      <c r="D84" s="177" t="s">
        <v>14</v>
      </c>
      <c r="E84" s="159" t="s">
        <v>282</v>
      </c>
      <c r="F84" s="159" t="s">
        <v>304</v>
      </c>
      <c r="G84" s="161">
        <v>55000</v>
      </c>
      <c r="H84" s="161">
        <f>G84*0.0287</f>
        <v>1578.5</v>
      </c>
      <c r="I84" s="161">
        <v>2559.67</v>
      </c>
      <c r="J84" s="161">
        <v>1672</v>
      </c>
      <c r="K84" s="161">
        <v>225</v>
      </c>
      <c r="L84" s="161">
        <f>H84+J84+I84+K84</f>
        <v>6035.17</v>
      </c>
      <c r="M84" s="161">
        <f>+G84-L84</f>
        <v>48964.83</v>
      </c>
    </row>
    <row r="85" spans="1:13" ht="90">
      <c r="A85" s="159">
        <v>30</v>
      </c>
      <c r="B85" s="163" t="s">
        <v>347</v>
      </c>
      <c r="C85" s="163" t="s">
        <v>297</v>
      </c>
      <c r="D85" s="177" t="s">
        <v>15</v>
      </c>
      <c r="E85" s="159" t="s">
        <v>282</v>
      </c>
      <c r="F85" s="159" t="s">
        <v>348</v>
      </c>
      <c r="G85" s="161">
        <v>55000</v>
      </c>
      <c r="H85" s="161">
        <v>1578.5</v>
      </c>
      <c r="I85" s="161">
        <v>2559.67</v>
      </c>
      <c r="J85" s="161">
        <v>1672</v>
      </c>
      <c r="K85" s="161">
        <v>11276.2</v>
      </c>
      <c r="L85" s="161">
        <f>H85+I85+J85+K85</f>
        <v>17086.370000000003</v>
      </c>
      <c r="M85" s="161">
        <f>G85-L85</f>
        <v>37913.629999999997</v>
      </c>
    </row>
    <row r="86" spans="1:13">
      <c r="A86" s="221">
        <v>19</v>
      </c>
      <c r="B86" s="222" t="s">
        <v>349</v>
      </c>
      <c r="C86" s="222" t="s">
        <v>55</v>
      </c>
      <c r="D86" s="223" t="s">
        <v>15</v>
      </c>
      <c r="E86" s="159" t="s">
        <v>282</v>
      </c>
      <c r="F86" s="224" t="s">
        <v>350</v>
      </c>
      <c r="G86" s="160">
        <v>60000</v>
      </c>
      <c r="H86" s="160">
        <v>1722</v>
      </c>
      <c r="I86" s="160">
        <v>3486.65</v>
      </c>
      <c r="J86" s="160">
        <v>1824</v>
      </c>
      <c r="K86" s="160">
        <v>11109.88</v>
      </c>
      <c r="L86" s="160">
        <f>H86+I86+J86+K86</f>
        <v>18142.53</v>
      </c>
      <c r="M86" s="160">
        <f>G86-L86</f>
        <v>41857.47</v>
      </c>
    </row>
    <row r="87" spans="1:13" ht="32.25" thickBot="1">
      <c r="A87" s="176" t="s">
        <v>24</v>
      </c>
      <c r="B87" s="225"/>
      <c r="C87" s="225"/>
      <c r="D87" s="226"/>
      <c r="E87" s="226"/>
      <c r="F87" s="225"/>
      <c r="G87" s="227">
        <f t="shared" ref="G87:M87" si="18">SUM(G84:G86)</f>
        <v>170000</v>
      </c>
      <c r="H87" s="227">
        <f t="shared" si="18"/>
        <v>4879</v>
      </c>
      <c r="I87" s="227">
        <f t="shared" si="18"/>
        <v>8605.99</v>
      </c>
      <c r="J87" s="227">
        <f t="shared" si="18"/>
        <v>5168</v>
      </c>
      <c r="K87" s="227">
        <f t="shared" si="18"/>
        <v>22611.08</v>
      </c>
      <c r="L87" s="227">
        <f t="shared" si="18"/>
        <v>41264.07</v>
      </c>
      <c r="M87" s="227">
        <f t="shared" si="18"/>
        <v>128735.93</v>
      </c>
    </row>
    <row r="88" spans="1:13" ht="31.5" thickBot="1">
      <c r="A88" s="209" t="s">
        <v>351</v>
      </c>
      <c r="B88" s="210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4"/>
    </row>
    <row r="89" spans="1:13" ht="18.75" thickBot="1">
      <c r="A89" s="180" t="s">
        <v>0</v>
      </c>
      <c r="B89" s="180" t="s">
        <v>1</v>
      </c>
      <c r="C89" s="180" t="s">
        <v>2</v>
      </c>
      <c r="D89" s="180" t="s">
        <v>13</v>
      </c>
      <c r="E89" s="180" t="s">
        <v>3</v>
      </c>
      <c r="F89" s="180" t="s">
        <v>279</v>
      </c>
      <c r="G89" s="180" t="s">
        <v>28</v>
      </c>
      <c r="H89" s="180" t="s">
        <v>4</v>
      </c>
      <c r="I89" s="180" t="s">
        <v>6</v>
      </c>
      <c r="J89" s="180" t="s">
        <v>5</v>
      </c>
      <c r="K89" s="180" t="s">
        <v>31</v>
      </c>
      <c r="L89" s="180" t="s">
        <v>30</v>
      </c>
      <c r="M89" s="180" t="s">
        <v>29</v>
      </c>
    </row>
    <row r="90" spans="1:13" ht="135">
      <c r="A90" s="159">
        <v>31</v>
      </c>
      <c r="B90" s="163" t="s">
        <v>352</v>
      </c>
      <c r="C90" s="163" t="s">
        <v>353</v>
      </c>
      <c r="D90" s="177" t="s">
        <v>15</v>
      </c>
      <c r="E90" s="159" t="s">
        <v>282</v>
      </c>
      <c r="F90" s="159" t="s">
        <v>283</v>
      </c>
      <c r="G90" s="161">
        <v>122500</v>
      </c>
      <c r="H90" s="161">
        <f>G90*0.0287</f>
        <v>3515.75</v>
      </c>
      <c r="I90" s="161">
        <v>17398</v>
      </c>
      <c r="J90" s="161">
        <v>3724</v>
      </c>
      <c r="K90" s="161">
        <v>225</v>
      </c>
      <c r="L90" s="161">
        <f>H90+J90+I90+K90</f>
        <v>24862.75</v>
      </c>
      <c r="M90" s="161">
        <f>+G90-L90</f>
        <v>97637.25</v>
      </c>
    </row>
    <row r="91" spans="1:13" ht="90">
      <c r="A91" s="159">
        <v>32</v>
      </c>
      <c r="B91" s="163" t="s">
        <v>354</v>
      </c>
      <c r="C91" s="163" t="s">
        <v>355</v>
      </c>
      <c r="D91" s="177" t="s">
        <v>14</v>
      </c>
      <c r="E91" s="159" t="s">
        <v>282</v>
      </c>
      <c r="F91" s="159" t="s">
        <v>356</v>
      </c>
      <c r="G91" s="161">
        <v>40000</v>
      </c>
      <c r="H91" s="161">
        <v>1148</v>
      </c>
      <c r="I91" s="161">
        <v>442.65</v>
      </c>
      <c r="J91" s="161">
        <v>1216</v>
      </c>
      <c r="K91" s="161">
        <v>1025</v>
      </c>
      <c r="L91" s="161">
        <f>H91+I91+J91+K91</f>
        <v>3831.65</v>
      </c>
      <c r="M91" s="161">
        <f>G91-L91</f>
        <v>36168.35</v>
      </c>
    </row>
    <row r="92" spans="1:13" ht="31.5">
      <c r="A92" s="176" t="s">
        <v>24</v>
      </c>
      <c r="B92" s="163"/>
      <c r="C92" s="163"/>
      <c r="D92" s="177"/>
      <c r="E92" s="177"/>
      <c r="F92" s="177"/>
      <c r="G92" s="216">
        <f t="shared" ref="G92:M92" si="19">SUM(G90:G91)</f>
        <v>162500</v>
      </c>
      <c r="H92" s="169">
        <f t="shared" si="19"/>
        <v>4663.75</v>
      </c>
      <c r="I92" s="216">
        <f t="shared" si="19"/>
        <v>17840.650000000001</v>
      </c>
      <c r="J92" s="216">
        <f t="shared" si="19"/>
        <v>4940</v>
      </c>
      <c r="K92" s="216">
        <f t="shared" si="19"/>
        <v>1250</v>
      </c>
      <c r="L92" s="216">
        <f t="shared" si="19"/>
        <v>28694.400000000001</v>
      </c>
      <c r="M92" s="216">
        <f t="shared" si="19"/>
        <v>133805.6</v>
      </c>
    </row>
    <row r="93" spans="1:13" ht="35.25" thickBot="1">
      <c r="A93" s="228" t="s">
        <v>272</v>
      </c>
      <c r="B93" s="192"/>
      <c r="C93" s="192"/>
      <c r="D93" s="192"/>
      <c r="E93" s="192"/>
      <c r="F93" s="192"/>
      <c r="G93" s="229">
        <f>G92+G87+G81+G73+G66+G59+G55+G49+G42+G35+G30+G26+G20+G16+G12</f>
        <v>2142500</v>
      </c>
      <c r="H93" s="230">
        <f>H92+H87+H81+H73+H66+H59+H55+H49+H42+H35+H30+H26+H20+H16+H12</f>
        <v>61489.749999999993</v>
      </c>
      <c r="I93" s="229">
        <f>I92+I87+I81+I73+I66+I59+I55+I49+I42+I35+I30+I26+I20+I12+I16</f>
        <v>147019.06000000003</v>
      </c>
      <c r="J93" s="229">
        <f>J92+J87+J81+J73+J66+J59+J55+J49+J42+J35+J30+J26+J20+J16+J12</f>
        <v>65132</v>
      </c>
      <c r="K93" s="229">
        <f>K92+K87+K81+K73+K66+K59+K55+K49+K42+K35+K30+K26+K20+K16+K12</f>
        <v>113914.88</v>
      </c>
      <c r="L93" s="229">
        <f>L92+L87+L81+L73+L66+L59+L55+L49+L42+L35+L30+L26+L20+L16+L12</f>
        <v>387555.68999999994</v>
      </c>
      <c r="M93" s="229">
        <f>M92+M87+M81+M73+M66+M59+M55+M49+M42+M35+M30+M26+M20+M16+M12</f>
        <v>1754944.31</v>
      </c>
    </row>
    <row r="94" spans="1:13" ht="18" thickTop="1">
      <c r="A94" s="228"/>
      <c r="B94" s="192"/>
      <c r="C94" s="192"/>
      <c r="D94" s="192"/>
      <c r="E94" s="192"/>
      <c r="F94" s="192"/>
      <c r="G94" s="231"/>
      <c r="I94" s="231"/>
      <c r="J94" s="231"/>
      <c r="K94" s="231"/>
      <c r="L94" s="231"/>
      <c r="M94" s="232"/>
    </row>
    <row r="95" spans="1:13" ht="17.25">
      <c r="A95" s="63" t="s">
        <v>21</v>
      </c>
      <c r="B95" s="63"/>
      <c r="C95" s="63"/>
      <c r="D95" s="63"/>
      <c r="E95" s="63"/>
      <c r="F95" s="65" t="s">
        <v>23</v>
      </c>
      <c r="G95" s="65"/>
      <c r="H95" s="65"/>
      <c r="J95" s="109" t="s">
        <v>22</v>
      </c>
      <c r="K95" s="109"/>
      <c r="L95" s="109"/>
      <c r="M95" s="109"/>
    </row>
    <row r="96" spans="1:13" ht="17.25">
      <c r="A96" s="63"/>
      <c r="B96" s="63"/>
      <c r="C96" s="63"/>
      <c r="D96" s="63"/>
      <c r="E96" s="63"/>
      <c r="F96" s="65"/>
      <c r="G96" s="65"/>
      <c r="H96" s="65"/>
      <c r="J96" s="65"/>
      <c r="K96" s="65"/>
      <c r="L96" s="65"/>
      <c r="M96" s="65"/>
    </row>
    <row r="97" spans="1:13" ht="17.25">
      <c r="A97" s="149"/>
      <c r="B97" s="63"/>
      <c r="C97" s="63"/>
      <c r="D97" s="63"/>
      <c r="E97" s="63"/>
      <c r="F97" s="63"/>
      <c r="G97" s="94"/>
      <c r="H97" s="94"/>
      <c r="J97" s="94"/>
      <c r="K97" s="94"/>
      <c r="L97" s="94"/>
      <c r="M97" s="150"/>
    </row>
    <row r="98" spans="1:13" ht="17.25">
      <c r="A98" s="62" t="s">
        <v>357</v>
      </c>
      <c r="B98" s="63"/>
      <c r="C98" s="63"/>
      <c r="D98" s="63"/>
      <c r="E98" s="63"/>
      <c r="F98" s="64" t="s">
        <v>8</v>
      </c>
      <c r="G98" s="65"/>
      <c r="H98" s="65"/>
      <c r="J98" s="111" t="s">
        <v>35</v>
      </c>
      <c r="K98" s="111"/>
      <c r="L98" s="111"/>
      <c r="M98" s="111"/>
    </row>
    <row r="99" spans="1:13" ht="17.25">
      <c r="A99" s="63" t="s">
        <v>358</v>
      </c>
      <c r="B99" s="63"/>
      <c r="C99" s="63"/>
      <c r="D99" s="63"/>
      <c r="E99" s="63"/>
      <c r="F99" s="63" t="s">
        <v>25</v>
      </c>
      <c r="G99" s="65"/>
      <c r="H99" s="65"/>
      <c r="J99" s="109" t="s">
        <v>7</v>
      </c>
      <c r="K99" s="109"/>
      <c r="L99" s="109"/>
      <c r="M99" s="109"/>
    </row>
    <row r="100" spans="1:13" ht="17.25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</row>
    <row r="101" spans="1:13" ht="17.25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</row>
    <row r="102" spans="1:13" ht="17.25">
      <c r="A102" s="109"/>
      <c r="B102" s="109"/>
      <c r="C102" s="109"/>
      <c r="D102" s="65"/>
      <c r="E102" s="109"/>
      <c r="F102" s="109"/>
      <c r="G102" s="109"/>
      <c r="H102" s="109"/>
      <c r="I102" s="109"/>
      <c r="J102" s="109"/>
      <c r="K102" s="1"/>
      <c r="L102" s="1"/>
      <c r="M102" s="1"/>
    </row>
    <row r="103" spans="1:13" ht="17.25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</row>
    <row r="104" spans="1:13" ht="17.25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</row>
    <row r="105" spans="1:13">
      <c r="D105" s="66"/>
      <c r="E105" s="66"/>
    </row>
    <row r="106" spans="1:13">
      <c r="D106" s="66"/>
      <c r="E106" s="66"/>
    </row>
    <row r="107" spans="1:13">
      <c r="D107" s="66"/>
      <c r="E107" s="66"/>
    </row>
  </sheetData>
  <mergeCells count="25">
    <mergeCell ref="A104:M104"/>
    <mergeCell ref="J99:M99"/>
    <mergeCell ref="A100:M100"/>
    <mergeCell ref="A102:C102"/>
    <mergeCell ref="E102:G102"/>
    <mergeCell ref="H102:J102"/>
    <mergeCell ref="A103:M103"/>
    <mergeCell ref="A70:M70"/>
    <mergeCell ref="A74:M74"/>
    <mergeCell ref="A82:M82"/>
    <mergeCell ref="A88:M88"/>
    <mergeCell ref="J95:M95"/>
    <mergeCell ref="J98:M98"/>
    <mergeCell ref="A32:M32"/>
    <mergeCell ref="A38:M38"/>
    <mergeCell ref="A43:M43"/>
    <mergeCell ref="A51:M51"/>
    <mergeCell ref="A56:M56"/>
    <mergeCell ref="A61:M61"/>
    <mergeCell ref="A1:M6"/>
    <mergeCell ref="A8:M8"/>
    <mergeCell ref="A13:M13"/>
    <mergeCell ref="A17:M17"/>
    <mergeCell ref="A21:M21"/>
    <mergeCell ref="A27:M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D0B58-AD8F-4391-BABB-E65D5471BB60}">
  <dimension ref="B3:N30"/>
  <sheetViews>
    <sheetView tabSelected="1" workbookViewId="0">
      <selection activeCell="A13" sqref="A13"/>
    </sheetView>
  </sheetViews>
  <sheetFormatPr baseColWidth="10" defaultRowHeight="15"/>
  <cols>
    <col min="3" max="3" width="22.7109375" bestFit="1" customWidth="1"/>
    <col min="4" max="4" width="32.7109375" customWidth="1"/>
    <col min="6" max="6" width="18.7109375" bestFit="1" customWidth="1"/>
    <col min="7" max="7" width="38.7109375" bestFit="1" customWidth="1"/>
    <col min="13" max="13" width="12.5703125" bestFit="1" customWidth="1"/>
  </cols>
  <sheetData>
    <row r="3" spans="2:14">
      <c r="B3" s="112" t="s">
        <v>359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4"/>
    </row>
    <row r="4" spans="2:14">
      <c r="B4" s="115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16"/>
    </row>
    <row r="5" spans="2:14">
      <c r="B5" s="115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16"/>
    </row>
    <row r="6" spans="2:14">
      <c r="B6" s="115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16"/>
    </row>
    <row r="7" spans="2:14">
      <c r="B7" s="115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16"/>
    </row>
    <row r="8" spans="2:14" ht="15.75" thickBot="1"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04"/>
      <c r="M8" s="116"/>
    </row>
    <row r="9" spans="2:14" ht="21" thickBot="1">
      <c r="B9" s="119" t="s">
        <v>276</v>
      </c>
      <c r="C9" s="119" t="s">
        <v>26</v>
      </c>
      <c r="D9" s="119" t="s">
        <v>16</v>
      </c>
      <c r="E9" s="119" t="s">
        <v>17</v>
      </c>
      <c r="F9" s="119" t="s">
        <v>18</v>
      </c>
      <c r="G9" s="119" t="s">
        <v>27</v>
      </c>
      <c r="H9" s="119" t="s">
        <v>19</v>
      </c>
      <c r="I9" s="119" t="s">
        <v>10</v>
      </c>
      <c r="J9" s="119" t="s">
        <v>360</v>
      </c>
      <c r="K9" s="120" t="s">
        <v>20</v>
      </c>
      <c r="L9" s="121"/>
      <c r="M9" s="122"/>
    </row>
    <row r="10" spans="2:14" ht="31.5" thickBot="1">
      <c r="B10" s="233" t="s">
        <v>361</v>
      </c>
      <c r="C10" s="234"/>
      <c r="D10" s="234"/>
      <c r="E10" s="234"/>
      <c r="F10" s="234"/>
      <c r="G10" s="234"/>
      <c r="H10" s="234"/>
      <c r="I10" s="234"/>
      <c r="J10" s="234"/>
      <c r="K10" s="234"/>
      <c r="L10" s="235"/>
      <c r="M10" s="236"/>
    </row>
    <row r="11" spans="2:14" ht="21" thickBot="1">
      <c r="B11" s="237" t="s">
        <v>0</v>
      </c>
      <c r="C11" s="238" t="s">
        <v>1</v>
      </c>
      <c r="D11" s="238" t="s">
        <v>2</v>
      </c>
      <c r="E11" s="238" t="s">
        <v>13</v>
      </c>
      <c r="F11" s="238" t="s">
        <v>3</v>
      </c>
      <c r="G11" s="238" t="s">
        <v>28</v>
      </c>
      <c r="H11" s="238" t="s">
        <v>4</v>
      </c>
      <c r="I11" s="238" t="s">
        <v>5</v>
      </c>
      <c r="J11" s="238" t="s">
        <v>6</v>
      </c>
      <c r="K11" s="238" t="s">
        <v>31</v>
      </c>
      <c r="L11" s="238" t="s">
        <v>30</v>
      </c>
      <c r="M11" s="121" t="s">
        <v>29</v>
      </c>
    </row>
    <row r="12" spans="2:14" ht="69">
      <c r="B12" s="128">
        <v>1</v>
      </c>
      <c r="C12" s="135" t="s">
        <v>362</v>
      </c>
      <c r="D12" s="135" t="s">
        <v>363</v>
      </c>
      <c r="E12" s="129" t="s">
        <v>14</v>
      </c>
      <c r="F12" s="129" t="s">
        <v>364</v>
      </c>
      <c r="G12" s="131">
        <v>20000</v>
      </c>
      <c r="H12" s="239">
        <v>0</v>
      </c>
      <c r="I12" s="239">
        <v>0</v>
      </c>
      <c r="J12" s="239">
        <v>0</v>
      </c>
      <c r="K12" s="239">
        <v>0</v>
      </c>
      <c r="L12" s="239">
        <f>+H12+I12+J12+K12</f>
        <v>0</v>
      </c>
      <c r="M12" s="132">
        <f>G12-L12</f>
        <v>20000</v>
      </c>
      <c r="N12" s="133"/>
    </row>
    <row r="13" spans="2:14" ht="69">
      <c r="B13" s="128">
        <v>2</v>
      </c>
      <c r="C13" s="135" t="s">
        <v>365</v>
      </c>
      <c r="D13" s="135" t="s">
        <v>366</v>
      </c>
      <c r="E13" s="129" t="s">
        <v>14</v>
      </c>
      <c r="F13" s="129" t="s">
        <v>364</v>
      </c>
      <c r="G13" s="131">
        <v>16000</v>
      </c>
      <c r="H13" s="239">
        <v>0</v>
      </c>
      <c r="I13" s="239">
        <v>0</v>
      </c>
      <c r="J13" s="239">
        <v>0</v>
      </c>
      <c r="K13" s="239">
        <v>0</v>
      </c>
      <c r="L13" s="239">
        <f t="shared" ref="L13:L16" si="0">+H13+I13+J13+K13</f>
        <v>0</v>
      </c>
      <c r="M13" s="132">
        <v>16000</v>
      </c>
      <c r="N13" s="133"/>
    </row>
    <row r="14" spans="2:14" ht="69">
      <c r="B14" s="128">
        <v>3</v>
      </c>
      <c r="C14" s="135" t="s">
        <v>367</v>
      </c>
      <c r="D14" s="135" t="s">
        <v>366</v>
      </c>
      <c r="E14" s="129" t="s">
        <v>15</v>
      </c>
      <c r="F14" s="129" t="s">
        <v>364</v>
      </c>
      <c r="G14" s="131">
        <v>16000</v>
      </c>
      <c r="H14" s="239">
        <v>0</v>
      </c>
      <c r="I14" s="239">
        <v>0</v>
      </c>
      <c r="J14" s="239">
        <v>0</v>
      </c>
      <c r="K14" s="131">
        <v>8417.6</v>
      </c>
      <c r="L14" s="131">
        <f t="shared" si="0"/>
        <v>8417.6</v>
      </c>
      <c r="M14" s="132">
        <f>G14-L14</f>
        <v>7582.4</v>
      </c>
      <c r="N14" s="133"/>
    </row>
    <row r="15" spans="2:14" ht="86.25">
      <c r="B15" s="128">
        <v>4</v>
      </c>
      <c r="C15" s="135" t="s">
        <v>368</v>
      </c>
      <c r="D15" s="135" t="s">
        <v>369</v>
      </c>
      <c r="E15" s="129" t="s">
        <v>14</v>
      </c>
      <c r="F15" s="129" t="s">
        <v>364</v>
      </c>
      <c r="G15" s="131">
        <v>18000</v>
      </c>
      <c r="H15" s="239">
        <v>0</v>
      </c>
      <c r="I15" s="239">
        <v>0</v>
      </c>
      <c r="J15" s="239">
        <v>0</v>
      </c>
      <c r="K15" s="131">
        <v>5308.96</v>
      </c>
      <c r="L15" s="131">
        <f t="shared" si="0"/>
        <v>5308.96</v>
      </c>
      <c r="M15" s="132">
        <f>G15-L15</f>
        <v>12691.04</v>
      </c>
      <c r="N15" s="133"/>
    </row>
    <row r="16" spans="2:14" ht="69">
      <c r="B16" s="128">
        <v>5</v>
      </c>
      <c r="C16" s="135" t="s">
        <v>370</v>
      </c>
      <c r="D16" s="135" t="s">
        <v>371</v>
      </c>
      <c r="E16" s="129" t="s">
        <v>14</v>
      </c>
      <c r="F16" s="129" t="s">
        <v>364</v>
      </c>
      <c r="G16" s="131">
        <v>12500</v>
      </c>
      <c r="H16" s="239">
        <v>0</v>
      </c>
      <c r="I16" s="239">
        <v>0</v>
      </c>
      <c r="J16" s="239">
        <v>0</v>
      </c>
      <c r="K16" s="239">
        <v>0</v>
      </c>
      <c r="L16" s="239">
        <f t="shared" si="0"/>
        <v>0</v>
      </c>
      <c r="M16" s="132">
        <f t="shared" ref="M16" si="1">G16-L16</f>
        <v>12500</v>
      </c>
      <c r="N16" s="133"/>
    </row>
    <row r="17" spans="2:14" ht="34.5">
      <c r="B17" s="134" t="s">
        <v>24</v>
      </c>
      <c r="C17" s="135"/>
      <c r="D17" s="135"/>
      <c r="E17" s="129"/>
      <c r="F17" s="129"/>
      <c r="G17" s="143">
        <f>SUM(G12:G16)</f>
        <v>82500</v>
      </c>
      <c r="H17" s="240">
        <f>SUM(H11:H16)</f>
        <v>0</v>
      </c>
      <c r="I17" s="240">
        <f>SUM(I11:I16)</f>
        <v>0</v>
      </c>
      <c r="J17" s="241" t="s">
        <v>372</v>
      </c>
      <c r="K17" s="242">
        <f>SUM(K11:K16)</f>
        <v>13726.560000000001</v>
      </c>
      <c r="L17" s="143">
        <f>SUM(L11:L16)</f>
        <v>13726.560000000001</v>
      </c>
      <c r="M17" s="144">
        <f>SUM(M12:M16)</f>
        <v>68773.440000000002</v>
      </c>
      <c r="N17" s="133"/>
    </row>
    <row r="18" spans="2:14" ht="34.5">
      <c r="B18" s="140" t="s">
        <v>272</v>
      </c>
      <c r="C18" s="141"/>
      <c r="D18" s="141"/>
      <c r="E18" s="142"/>
      <c r="F18" s="142"/>
      <c r="G18" s="143">
        <f>+G17</f>
        <v>82500</v>
      </c>
      <c r="H18" s="240">
        <f>+H17</f>
        <v>0</v>
      </c>
      <c r="I18" s="240">
        <f t="shared" ref="I18:L18" si="2">+I17</f>
        <v>0</v>
      </c>
      <c r="J18" s="143" t="str">
        <f t="shared" si="2"/>
        <v>0.00</v>
      </c>
      <c r="K18" s="143">
        <f t="shared" si="2"/>
        <v>13726.560000000001</v>
      </c>
      <c r="L18" s="143">
        <f t="shared" si="2"/>
        <v>13726.560000000001</v>
      </c>
      <c r="M18" s="144">
        <f>+M17</f>
        <v>68773.440000000002</v>
      </c>
      <c r="N18" s="133"/>
    </row>
    <row r="19" spans="2:14" ht="15.75">
      <c r="B19" s="243"/>
      <c r="E19" s="66"/>
      <c r="F19" s="243"/>
      <c r="N19" s="133"/>
    </row>
    <row r="20" spans="2:14" ht="15.75">
      <c r="B20" s="243"/>
      <c r="E20" s="66"/>
      <c r="F20" s="243"/>
      <c r="N20" s="133"/>
    </row>
    <row r="21" spans="2:14" ht="17.25">
      <c r="B21" s="145"/>
      <c r="C21" s="146"/>
      <c r="D21" s="146"/>
      <c r="E21" s="129"/>
      <c r="F21" s="129"/>
      <c r="G21" s="137"/>
      <c r="H21" s="147"/>
      <c r="I21" s="147"/>
      <c r="J21" s="137"/>
      <c r="K21" s="148"/>
      <c r="L21" s="137"/>
      <c r="M21" s="137"/>
      <c r="N21" s="133"/>
    </row>
    <row r="22" spans="2:14" ht="17.25">
      <c r="B22" s="63" t="s">
        <v>21</v>
      </c>
      <c r="C22" s="63"/>
      <c r="D22" s="63"/>
      <c r="E22" s="63"/>
      <c r="F22" s="63"/>
      <c r="G22" s="65" t="s">
        <v>23</v>
      </c>
      <c r="H22" s="65"/>
      <c r="I22" s="65"/>
      <c r="J22" s="133"/>
      <c r="K22" s="109" t="s">
        <v>22</v>
      </c>
      <c r="L22" s="109"/>
      <c r="M22" s="109"/>
      <c r="N22" s="109"/>
    </row>
    <row r="23" spans="2:14" ht="17.25">
      <c r="B23" s="149"/>
      <c r="C23" s="63"/>
      <c r="D23" s="63"/>
      <c r="E23" s="63"/>
      <c r="F23" s="63"/>
      <c r="G23" s="63"/>
      <c r="H23" s="94"/>
      <c r="I23" s="94"/>
      <c r="J23" s="94"/>
      <c r="K23" s="94"/>
      <c r="L23" s="94"/>
      <c r="M23" s="94"/>
      <c r="N23" s="150"/>
    </row>
    <row r="24" spans="2:14" ht="17.25">
      <c r="B24" s="62" t="s">
        <v>373</v>
      </c>
      <c r="C24" s="63"/>
      <c r="D24" s="63"/>
      <c r="E24" s="63"/>
      <c r="F24" s="63"/>
      <c r="G24" s="64" t="s">
        <v>8</v>
      </c>
      <c r="H24" s="65"/>
      <c r="I24" s="65"/>
      <c r="J24" s="65"/>
      <c r="K24" s="111" t="s">
        <v>35</v>
      </c>
      <c r="L24" s="111"/>
      <c r="M24" s="111"/>
      <c r="N24" s="111"/>
    </row>
    <row r="25" spans="2:14" ht="17.25">
      <c r="B25" s="63" t="s">
        <v>374</v>
      </c>
      <c r="C25" s="63"/>
      <c r="D25" s="63"/>
      <c r="E25" s="63"/>
      <c r="F25" s="63"/>
      <c r="G25" s="63" t="s">
        <v>25</v>
      </c>
      <c r="H25" s="65"/>
      <c r="I25" s="65"/>
      <c r="J25" s="65"/>
      <c r="K25" s="109" t="s">
        <v>7</v>
      </c>
      <c r="L25" s="109"/>
      <c r="M25" s="109"/>
      <c r="N25" s="109"/>
    </row>
    <row r="26" spans="2:14" ht="17.25">
      <c r="B26" s="145"/>
      <c r="C26" s="146"/>
      <c r="D26" s="146"/>
      <c r="E26" s="129"/>
      <c r="F26" s="129"/>
      <c r="G26" s="137"/>
      <c r="H26" s="147"/>
      <c r="I26" s="147"/>
      <c r="J26" s="137"/>
      <c r="K26" s="148"/>
      <c r="L26" s="137"/>
      <c r="M26" s="137"/>
      <c r="N26" s="133"/>
    </row>
    <row r="27" spans="2:14" ht="17.25">
      <c r="B27" s="145"/>
      <c r="C27" s="146"/>
      <c r="D27" s="146"/>
      <c r="E27" s="129"/>
      <c r="F27" s="129"/>
      <c r="G27" s="137"/>
      <c r="H27" s="147"/>
      <c r="I27" s="147"/>
      <c r="J27" s="137"/>
      <c r="K27" s="148"/>
      <c r="L27" s="137"/>
      <c r="M27" s="137"/>
      <c r="N27" s="133"/>
    </row>
    <row r="28" spans="2:14" ht="17.25">
      <c r="B28" s="145"/>
      <c r="C28" s="146"/>
      <c r="D28" s="146"/>
      <c r="E28" s="129"/>
      <c r="F28" s="129"/>
      <c r="G28" s="137"/>
      <c r="H28" s="147"/>
      <c r="I28" s="147"/>
      <c r="J28" s="137"/>
      <c r="K28" s="148"/>
      <c r="L28" s="137"/>
      <c r="M28" s="137"/>
      <c r="N28" s="133"/>
    </row>
    <row r="29" spans="2:14" ht="17.25">
      <c r="B29" s="145"/>
      <c r="C29" s="146"/>
      <c r="D29" s="146"/>
      <c r="E29" s="129"/>
      <c r="F29" s="129"/>
      <c r="G29" s="137"/>
      <c r="H29" s="147"/>
      <c r="I29" s="147"/>
      <c r="J29" s="137"/>
      <c r="K29" s="148"/>
      <c r="L29" s="137"/>
      <c r="M29" s="137"/>
      <c r="N29" s="133"/>
    </row>
    <row r="30" spans="2:14" ht="17.25">
      <c r="B30" s="145"/>
      <c r="C30" s="146"/>
      <c r="D30" s="146"/>
      <c r="E30" s="129"/>
      <c r="F30" s="129"/>
      <c r="G30" s="137"/>
      <c r="H30" s="147"/>
      <c r="I30" s="147"/>
      <c r="J30" s="137"/>
      <c r="K30" s="148"/>
      <c r="L30" s="137"/>
      <c r="M30" s="137"/>
      <c r="N30" s="133"/>
    </row>
  </sheetData>
  <mergeCells count="5">
    <mergeCell ref="B3:M8"/>
    <mergeCell ref="B10:M10"/>
    <mergeCell ref="K22:N22"/>
    <mergeCell ref="K24:N24"/>
    <mergeCell ref="K25:N2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3E2219-D81E-4ECB-858A-00BC1B9C85C6}"/>
</file>

<file path=customXml/itemProps2.xml><?xml version="1.0" encoding="utf-8"?>
<ds:datastoreItem xmlns:ds="http://schemas.openxmlformats.org/officeDocument/2006/customXml" ds:itemID="{0E3B7064-7CBE-474C-8924-A32B4EA5DAFD}"/>
</file>

<file path=customXml/itemProps3.xml><?xml version="1.0" encoding="utf-8"?>
<ds:datastoreItem xmlns:ds="http://schemas.openxmlformats.org/officeDocument/2006/customXml" ds:itemID="{018C86AB-A63A-4540-8478-36FD8D76B8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Personal fijo </vt:lpstr>
      <vt:lpstr>Periodo probatorio </vt:lpstr>
      <vt:lpstr>Temporal </vt:lpstr>
      <vt:lpstr>Vigilancia </vt:lpstr>
      <vt:lpstr>'Personal fijo '!Área_de_impresión</vt:lpstr>
      <vt:lpstr>'Personal fijo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Nayade Ferreras Gómez</cp:lastModifiedBy>
  <cp:lastPrinted>2026-04-10T14:12:29Z</cp:lastPrinted>
  <dcterms:created xsi:type="dcterms:W3CDTF">2020-09-29T17:23:37Z</dcterms:created>
  <dcterms:modified xsi:type="dcterms:W3CDTF">2026-04-15T16:55:49Z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