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ferreras\Desktop\OAI-Noviembre 2025\"/>
    </mc:Choice>
  </mc:AlternateContent>
  <xr:revisionPtr revIDLastSave="0" documentId="8_{1A2B9821-851B-47CB-ACD1-9F7113BA5F83}" xr6:coauthVersionLast="47" xr6:coauthVersionMax="47" xr10:uidLastSave="{00000000-0000-0000-0000-000000000000}"/>
  <bookViews>
    <workbookView xWindow="-120" yWindow="-120" windowWidth="29040" windowHeight="15720" xr2:uid="{00000000-000D-0000-FFFF-FFFF00000000}"/>
  </bookViews>
  <sheets>
    <sheet name="Nomina General" sheetId="1" r:id="rId1"/>
    <sheet name="Nomina de Cotratados" sheetId="2" r:id="rId2"/>
    <sheet name="Nomina de Vigilancia " sheetId="3" r:id="rId3"/>
    <sheet name="Periodo de Prueba" sheetId="4" r:id="rId4"/>
  </sheets>
  <definedNames>
    <definedName name="_xlnm.Print_Area" localSheetId="0">'Nomina General'!$A$1:$M$199</definedName>
    <definedName name="_xlnm.Print_Titles" localSheetId="0">'Nomina General'!$1:$6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4" l="1"/>
  <c r="J17" i="4"/>
  <c r="I17" i="4"/>
  <c r="K16" i="4"/>
  <c r="J16" i="4"/>
  <c r="H16" i="4"/>
  <c r="H17" i="4" s="1"/>
  <c r="G16" i="4"/>
  <c r="G17" i="4" s="1"/>
  <c r="L15" i="4"/>
  <c r="L16" i="4" s="1"/>
  <c r="L17" i="4" s="1"/>
  <c r="M15" i="4" l="1"/>
  <c r="M16" i="4" s="1"/>
  <c r="M17" i="4" s="1"/>
  <c r="K18" i="3" l="1"/>
  <c r="L17" i="3"/>
  <c r="L18" i="3" s="1"/>
  <c r="J17" i="3"/>
  <c r="J18" i="3" s="1"/>
  <c r="I17" i="3"/>
  <c r="I18" i="3" s="1"/>
  <c r="H17" i="3"/>
  <c r="H18" i="3" s="1"/>
  <c r="M16" i="3"/>
  <c r="N16" i="3" s="1"/>
  <c r="N15" i="3"/>
  <c r="M15" i="3"/>
  <c r="M14" i="3"/>
  <c r="M13" i="3"/>
  <c r="M12" i="3"/>
  <c r="N12" i="3" s="1"/>
  <c r="N17" i="3" s="1"/>
  <c r="N18" i="3" s="1"/>
  <c r="M17" i="3" l="1"/>
  <c r="M18" i="3" s="1"/>
  <c r="J90" i="2" l="1"/>
  <c r="I90" i="2"/>
  <c r="H90" i="2"/>
  <c r="L90" i="2" s="1"/>
  <c r="M90" i="2" s="1"/>
  <c r="G90" i="2"/>
  <c r="L89" i="2"/>
  <c r="M89" i="2" s="1"/>
  <c r="H89" i="2"/>
  <c r="L86" i="2"/>
  <c r="K86" i="2"/>
  <c r="J86" i="2"/>
  <c r="I86" i="2"/>
  <c r="G86" i="2"/>
  <c r="M85" i="2"/>
  <c r="L85" i="2"/>
  <c r="L84" i="2"/>
  <c r="M84" i="2" s="1"/>
  <c r="M86" i="2" s="1"/>
  <c r="H84" i="2"/>
  <c r="H86" i="2" s="1"/>
  <c r="K81" i="2"/>
  <c r="I81" i="2"/>
  <c r="G81" i="2"/>
  <c r="J80" i="2"/>
  <c r="H80" i="2"/>
  <c r="L80" i="2" s="1"/>
  <c r="M80" i="2" s="1"/>
  <c r="H79" i="2"/>
  <c r="L79" i="2" s="1"/>
  <c r="M79" i="2" s="1"/>
  <c r="L78" i="2"/>
  <c r="M78" i="2" s="1"/>
  <c r="J78" i="2"/>
  <c r="J81" i="2" s="1"/>
  <c r="H78" i="2"/>
  <c r="L77" i="2"/>
  <c r="M77" i="2" s="1"/>
  <c r="H77" i="2"/>
  <c r="M76" i="2"/>
  <c r="M81" i="2" s="1"/>
  <c r="L76" i="2"/>
  <c r="H76" i="2"/>
  <c r="H81" i="2" s="1"/>
  <c r="K73" i="2"/>
  <c r="J73" i="2"/>
  <c r="I73" i="2"/>
  <c r="G73" i="2"/>
  <c r="H73" i="2" s="1"/>
  <c r="L73" i="2" s="1"/>
  <c r="H72" i="2"/>
  <c r="L72" i="2" s="1"/>
  <c r="M72" i="2" s="1"/>
  <c r="K66" i="2"/>
  <c r="I66" i="2"/>
  <c r="H66" i="2"/>
  <c r="G66" i="2"/>
  <c r="J65" i="2"/>
  <c r="J66" i="2" s="1"/>
  <c r="H65" i="2"/>
  <c r="M64" i="2"/>
  <c r="L64" i="2"/>
  <c r="J64" i="2"/>
  <c r="H64" i="2"/>
  <c r="J63" i="2"/>
  <c r="L63" i="2" s="1"/>
  <c r="K60" i="2"/>
  <c r="I60" i="2"/>
  <c r="H60" i="2"/>
  <c r="G60" i="2"/>
  <c r="J59" i="2"/>
  <c r="L59" i="2" s="1"/>
  <c r="M59" i="2" s="1"/>
  <c r="H59" i="2"/>
  <c r="M58" i="2"/>
  <c r="L58" i="2"/>
  <c r="L57" i="2"/>
  <c r="K53" i="2"/>
  <c r="J53" i="2"/>
  <c r="I53" i="2"/>
  <c r="G53" i="2"/>
  <c r="L52" i="2"/>
  <c r="M52" i="2" s="1"/>
  <c r="H52" i="2"/>
  <c r="H51" i="2"/>
  <c r="L51" i="2" s="1"/>
  <c r="M51" i="2" s="1"/>
  <c r="L50" i="2"/>
  <c r="M50" i="2" s="1"/>
  <c r="H50" i="2"/>
  <c r="H49" i="2"/>
  <c r="H53" i="2" s="1"/>
  <c r="K46" i="2"/>
  <c r="H46" i="2"/>
  <c r="G46" i="2"/>
  <c r="J45" i="2"/>
  <c r="L45" i="2" s="1"/>
  <c r="K41" i="2"/>
  <c r="J41" i="2"/>
  <c r="I41" i="2"/>
  <c r="G41" i="2"/>
  <c r="H40" i="2"/>
  <c r="H41" i="2" s="1"/>
  <c r="L34" i="2"/>
  <c r="K34" i="2"/>
  <c r="J34" i="2"/>
  <c r="I34" i="2"/>
  <c r="H34" i="2"/>
  <c r="G34" i="2"/>
  <c r="M33" i="2"/>
  <c r="M34" i="2" s="1"/>
  <c r="L33" i="2"/>
  <c r="K30" i="2"/>
  <c r="G30" i="2"/>
  <c r="H29" i="2"/>
  <c r="H30" i="2" s="1"/>
  <c r="K26" i="2"/>
  <c r="K91" i="2" s="1"/>
  <c r="J26" i="2"/>
  <c r="I26" i="2"/>
  <c r="G26" i="2"/>
  <c r="L25" i="2"/>
  <c r="M25" i="2" s="1"/>
  <c r="H24" i="2"/>
  <c r="L24" i="2" s="1"/>
  <c r="M24" i="2" s="1"/>
  <c r="M23" i="2"/>
  <c r="M26" i="2" s="1"/>
  <c r="L23" i="2"/>
  <c r="L26" i="2" s="1"/>
  <c r="L20" i="2"/>
  <c r="K20" i="2"/>
  <c r="J20" i="2"/>
  <c r="I20" i="2"/>
  <c r="H20" i="2"/>
  <c r="G20" i="2"/>
  <c r="M19" i="2"/>
  <c r="M20" i="2" s="1"/>
  <c r="L19" i="2"/>
  <c r="L16" i="2"/>
  <c r="K16" i="2"/>
  <c r="J16" i="2"/>
  <c r="I16" i="2"/>
  <c r="H16" i="2"/>
  <c r="G16" i="2"/>
  <c r="M15" i="2"/>
  <c r="M16" i="2" s="1"/>
  <c r="L15" i="2"/>
  <c r="K12" i="2"/>
  <c r="J12" i="2"/>
  <c r="I12" i="2"/>
  <c r="I91" i="2" s="1"/>
  <c r="G12" i="2"/>
  <c r="G91" i="2" s="1"/>
  <c r="H11" i="2"/>
  <c r="H12" i="2" s="1"/>
  <c r="M10" i="2"/>
  <c r="L10" i="2"/>
  <c r="M63" i="2" l="1"/>
  <c r="M45" i="2"/>
  <c r="M46" i="2" s="1"/>
  <c r="L46" i="2"/>
  <c r="L60" i="2"/>
  <c r="H91" i="2"/>
  <c r="J60" i="2"/>
  <c r="J91" i="2" s="1"/>
  <c r="L81" i="2"/>
  <c r="H26" i="2"/>
  <c r="L40" i="2"/>
  <c r="L49" i="2"/>
  <c r="L65" i="2"/>
  <c r="M65" i="2" s="1"/>
  <c r="M73" i="2"/>
  <c r="L11" i="2"/>
  <c r="L29" i="2"/>
  <c r="M57" i="2"/>
  <c r="M60" i="2" s="1"/>
  <c r="M66" i="2" l="1"/>
  <c r="L53" i="2"/>
  <c r="M49" i="2"/>
  <c r="M53" i="2" s="1"/>
  <c r="L66" i="2"/>
  <c r="L41" i="2"/>
  <c r="M40" i="2"/>
  <c r="M41" i="2" s="1"/>
  <c r="M29" i="2"/>
  <c r="M30" i="2" s="1"/>
  <c r="L30" i="2"/>
  <c r="L12" i="2"/>
  <c r="L91" i="2" s="1"/>
  <c r="M11" i="2"/>
  <c r="M12" i="2" s="1"/>
  <c r="M91" i="2" l="1"/>
  <c r="F189" i="1" l="1"/>
  <c r="H189" i="1"/>
  <c r="J189" i="1"/>
  <c r="J179" i="1"/>
  <c r="I179" i="1"/>
  <c r="H179" i="1"/>
  <c r="G179" i="1"/>
  <c r="F179" i="1"/>
  <c r="G164" i="1"/>
  <c r="G169" i="1" s="1"/>
  <c r="J169" i="1"/>
  <c r="I164" i="1"/>
  <c r="H164" i="1"/>
  <c r="H169" i="1" s="1"/>
  <c r="F164" i="1"/>
  <c r="F169" i="1" s="1"/>
  <c r="I143" i="1"/>
  <c r="G143" i="1"/>
  <c r="F143" i="1"/>
  <c r="F65" i="1"/>
  <c r="I96" i="1"/>
  <c r="H96" i="1"/>
  <c r="H97" i="1" s="1"/>
  <c r="G96" i="1"/>
  <c r="F96" i="1"/>
  <c r="F97" i="1" s="1"/>
  <c r="H54" i="1"/>
  <c r="K164" i="1" l="1"/>
  <c r="L164" i="1" s="1"/>
  <c r="I169" i="1"/>
  <c r="K143" i="1"/>
  <c r="L143" i="1" s="1"/>
  <c r="K96" i="1"/>
  <c r="L96" i="1" s="1"/>
  <c r="G32" i="1"/>
  <c r="I32" i="1"/>
  <c r="H32" i="1"/>
  <c r="F32" i="1"/>
  <c r="G24" i="1"/>
  <c r="F24" i="1"/>
  <c r="G213" i="1"/>
  <c r="F213" i="1"/>
  <c r="E213" i="1"/>
  <c r="D213" i="1"/>
  <c r="C213" i="1"/>
  <c r="H212" i="1"/>
  <c r="I212" i="1" s="1"/>
  <c r="H211" i="1"/>
  <c r="H210" i="1"/>
  <c r="I210" i="1" s="1"/>
  <c r="K32" i="1" l="1"/>
  <c r="L32" i="1" s="1"/>
  <c r="H213" i="1"/>
  <c r="I211" i="1"/>
  <c r="I213" i="1" s="1"/>
  <c r="I188" i="1" l="1"/>
  <c r="I189" i="1" s="1"/>
  <c r="G188" i="1"/>
  <c r="G187" i="1"/>
  <c r="J184" i="1"/>
  <c r="I184" i="1"/>
  <c r="H184" i="1"/>
  <c r="F184" i="1"/>
  <c r="G183" i="1"/>
  <c r="K183" i="1" s="1"/>
  <c r="K182" i="1"/>
  <c r="L182" i="1" s="1"/>
  <c r="K177" i="1"/>
  <c r="L177" i="1" s="1"/>
  <c r="K176" i="1"/>
  <c r="L176" i="1" s="1"/>
  <c r="K175" i="1"/>
  <c r="L175" i="1" s="1"/>
  <c r="K174" i="1"/>
  <c r="K173" i="1"/>
  <c r="L173" i="1" s="1"/>
  <c r="K172" i="1"/>
  <c r="K167" i="1"/>
  <c r="L167" i="1" s="1"/>
  <c r="K166" i="1"/>
  <c r="L166" i="1" s="1"/>
  <c r="K165" i="1"/>
  <c r="L165" i="1" s="1"/>
  <c r="K163" i="1"/>
  <c r="L163" i="1" s="1"/>
  <c r="K162" i="1"/>
  <c r="L162" i="1" s="1"/>
  <c r="K161" i="1"/>
  <c r="L161" i="1" s="1"/>
  <c r="K160" i="1"/>
  <c r="L160" i="1" s="1"/>
  <c r="K159" i="1"/>
  <c r="L159" i="1" s="1"/>
  <c r="K158" i="1"/>
  <c r="J155" i="1"/>
  <c r="H155" i="1"/>
  <c r="F155" i="1"/>
  <c r="I154" i="1"/>
  <c r="G154" i="1"/>
  <c r="G153" i="1"/>
  <c r="K153" i="1" s="1"/>
  <c r="L153" i="1" s="1"/>
  <c r="L152" i="1"/>
  <c r="I152" i="1"/>
  <c r="G152" i="1"/>
  <c r="J149" i="1"/>
  <c r="I149" i="1"/>
  <c r="H149" i="1"/>
  <c r="G149" i="1"/>
  <c r="F149" i="1"/>
  <c r="K148" i="1"/>
  <c r="L148" i="1" s="1"/>
  <c r="K147" i="1"/>
  <c r="L147" i="1" s="1"/>
  <c r="K146" i="1"/>
  <c r="L146" i="1" s="1"/>
  <c r="K145" i="1"/>
  <c r="L145" i="1" s="1"/>
  <c r="K144" i="1"/>
  <c r="L144" i="1" s="1"/>
  <c r="J140" i="1"/>
  <c r="I140" i="1"/>
  <c r="H140" i="1"/>
  <c r="G140" i="1"/>
  <c r="F140" i="1"/>
  <c r="K139" i="1"/>
  <c r="L139" i="1" s="1"/>
  <c r="K138" i="1"/>
  <c r="L138" i="1" s="1"/>
  <c r="K137" i="1"/>
  <c r="L137" i="1" s="1"/>
  <c r="K136" i="1"/>
  <c r="L136" i="1" s="1"/>
  <c r="K135" i="1"/>
  <c r="J131" i="1"/>
  <c r="I131" i="1"/>
  <c r="H131" i="1"/>
  <c r="G131" i="1"/>
  <c r="F131" i="1"/>
  <c r="K130" i="1"/>
  <c r="L130" i="1" s="1"/>
  <c r="K129" i="1"/>
  <c r="L129" i="1" s="1"/>
  <c r="K128" i="1"/>
  <c r="L128" i="1" s="1"/>
  <c r="K127" i="1"/>
  <c r="L127" i="1" s="1"/>
  <c r="K126" i="1"/>
  <c r="L126" i="1" s="1"/>
  <c r="J123" i="1"/>
  <c r="H123" i="1"/>
  <c r="F123" i="1"/>
  <c r="I122" i="1"/>
  <c r="I123" i="1" s="1"/>
  <c r="G122" i="1"/>
  <c r="J119" i="1"/>
  <c r="I119" i="1"/>
  <c r="H119" i="1"/>
  <c r="G119" i="1"/>
  <c r="F119" i="1"/>
  <c r="K118" i="1"/>
  <c r="L118" i="1" s="1"/>
  <c r="K117" i="1"/>
  <c r="L117" i="1" s="1"/>
  <c r="K116" i="1"/>
  <c r="L116" i="1" s="1"/>
  <c r="K115" i="1"/>
  <c r="L115" i="1" s="1"/>
  <c r="K114" i="1"/>
  <c r="L114" i="1" s="1"/>
  <c r="K113" i="1"/>
  <c r="L113" i="1" s="1"/>
  <c r="K112" i="1"/>
  <c r="K111" i="1"/>
  <c r="L111" i="1" s="1"/>
  <c r="K110" i="1"/>
  <c r="L110" i="1" s="1"/>
  <c r="K109" i="1"/>
  <c r="L109" i="1" s="1"/>
  <c r="K108" i="1"/>
  <c r="L108" i="1" s="1"/>
  <c r="K107" i="1"/>
  <c r="L107" i="1" s="1"/>
  <c r="K106" i="1"/>
  <c r="L106" i="1" s="1"/>
  <c r="K105" i="1"/>
  <c r="L105" i="1" s="1"/>
  <c r="K104" i="1"/>
  <c r="L104" i="1" s="1"/>
  <c r="K103" i="1"/>
  <c r="L103" i="1" s="1"/>
  <c r="K102" i="1"/>
  <c r="L102" i="1" s="1"/>
  <c r="K101" i="1"/>
  <c r="L101" i="1" s="1"/>
  <c r="K100" i="1"/>
  <c r="L100" i="1" s="1"/>
  <c r="J97" i="1"/>
  <c r="I97" i="1"/>
  <c r="G97" i="1"/>
  <c r="L97" i="1"/>
  <c r="J93" i="1"/>
  <c r="I93" i="1"/>
  <c r="H93" i="1"/>
  <c r="G93" i="1"/>
  <c r="F93" i="1"/>
  <c r="K92" i="1"/>
  <c r="L92" i="1" s="1"/>
  <c r="K91" i="1"/>
  <c r="L91" i="1" s="1"/>
  <c r="K90" i="1"/>
  <c r="L90" i="1" s="1"/>
  <c r="K89" i="1"/>
  <c r="L89" i="1" s="1"/>
  <c r="K88" i="1"/>
  <c r="L88" i="1" s="1"/>
  <c r="K87" i="1"/>
  <c r="L87" i="1" s="1"/>
  <c r="K86" i="1"/>
  <c r="L86" i="1" s="1"/>
  <c r="K168" i="1"/>
  <c r="L168" i="1" s="1"/>
  <c r="K178" i="1"/>
  <c r="L178" i="1" s="1"/>
  <c r="K85" i="1"/>
  <c r="L85" i="1" s="1"/>
  <c r="J82" i="1"/>
  <c r="I82" i="1"/>
  <c r="H82" i="1"/>
  <c r="G82" i="1"/>
  <c r="F82" i="1"/>
  <c r="K81" i="1"/>
  <c r="L81" i="1" s="1"/>
  <c r="K80" i="1"/>
  <c r="L80" i="1" s="1"/>
  <c r="K79" i="1"/>
  <c r="J76" i="1"/>
  <c r="H76" i="1"/>
  <c r="F76" i="1"/>
  <c r="I75" i="1"/>
  <c r="I76" i="1" s="1"/>
  <c r="G75" i="1"/>
  <c r="J72" i="1"/>
  <c r="I72" i="1"/>
  <c r="H72" i="1"/>
  <c r="F72" i="1"/>
  <c r="G71" i="1"/>
  <c r="K71" i="1" s="1"/>
  <c r="L71" i="1" s="1"/>
  <c r="K70" i="1"/>
  <c r="J67" i="1"/>
  <c r="I67" i="1"/>
  <c r="H67" i="1"/>
  <c r="G67" i="1"/>
  <c r="K66" i="1"/>
  <c r="L66" i="1" s="1"/>
  <c r="K65" i="1"/>
  <c r="L65" i="1" s="1"/>
  <c r="K64" i="1"/>
  <c r="L64" i="1" s="1"/>
  <c r="K63" i="1"/>
  <c r="L63" i="1" s="1"/>
  <c r="K62" i="1"/>
  <c r="L62" i="1" s="1"/>
  <c r="K61" i="1"/>
  <c r="J58" i="1"/>
  <c r="I58" i="1"/>
  <c r="H58" i="1"/>
  <c r="G58" i="1"/>
  <c r="F58" i="1"/>
  <c r="K57" i="1"/>
  <c r="K58" i="1" s="1"/>
  <c r="J54" i="1"/>
  <c r="F54" i="1"/>
  <c r="K53" i="1"/>
  <c r="L53" i="1" s="1"/>
  <c r="I52" i="1"/>
  <c r="I54" i="1" s="1"/>
  <c r="G52" i="1"/>
  <c r="J49" i="1"/>
  <c r="I49" i="1"/>
  <c r="H49" i="1"/>
  <c r="G49" i="1"/>
  <c r="F49" i="1"/>
  <c r="K48" i="1"/>
  <c r="L48" i="1" s="1"/>
  <c r="K47" i="1"/>
  <c r="L47" i="1" s="1"/>
  <c r="K46" i="1"/>
  <c r="L46" i="1" s="1"/>
  <c r="L45" i="1"/>
  <c r="K44" i="1"/>
  <c r="L44" i="1" s="1"/>
  <c r="K43" i="1"/>
  <c r="L43" i="1" s="1"/>
  <c r="K42" i="1"/>
  <c r="L42" i="1" s="1"/>
  <c r="J39" i="1"/>
  <c r="I39" i="1"/>
  <c r="H39" i="1"/>
  <c r="G39" i="1"/>
  <c r="F39" i="1"/>
  <c r="K38" i="1"/>
  <c r="K37" i="1"/>
  <c r="L37" i="1" s="1"/>
  <c r="K36" i="1"/>
  <c r="L36" i="1" s="1"/>
  <c r="J33" i="1"/>
  <c r="I33" i="1"/>
  <c r="H33" i="1"/>
  <c r="G33" i="1"/>
  <c r="F33" i="1"/>
  <c r="K31" i="1"/>
  <c r="L31" i="1" s="1"/>
  <c r="K30" i="1"/>
  <c r="L30" i="1" s="1"/>
  <c r="K29" i="1"/>
  <c r="L29" i="1" s="1"/>
  <c r="K28" i="1"/>
  <c r="L28" i="1" s="1"/>
  <c r="J25" i="1"/>
  <c r="I25" i="1"/>
  <c r="H25" i="1"/>
  <c r="F25" i="1"/>
  <c r="K24" i="1"/>
  <c r="K25" i="1" s="1"/>
  <c r="J21" i="1"/>
  <c r="I21" i="1"/>
  <c r="H21" i="1"/>
  <c r="K20" i="1"/>
  <c r="L20" i="1" s="1"/>
  <c r="K19" i="1"/>
  <c r="L19" i="1" s="1"/>
  <c r="K18" i="1"/>
  <c r="L18" i="1" s="1"/>
  <c r="K17" i="1"/>
  <c r="L17" i="1" s="1"/>
  <c r="K16" i="1"/>
  <c r="L16" i="1" s="1"/>
  <c r="K15" i="1"/>
  <c r="L15" i="1" s="1"/>
  <c r="K14" i="1"/>
  <c r="L14" i="1" s="1"/>
  <c r="K13" i="1"/>
  <c r="L13" i="1" s="1"/>
  <c r="K12" i="1"/>
  <c r="L12" i="1" s="1"/>
  <c r="K11" i="1"/>
  <c r="L11" i="1" s="1"/>
  <c r="K10" i="1"/>
  <c r="L10" i="1" s="1"/>
  <c r="K72" i="1" l="1"/>
  <c r="L172" i="1"/>
  <c r="K179" i="1"/>
  <c r="K187" i="1"/>
  <c r="G189" i="1"/>
  <c r="K169" i="1"/>
  <c r="K75" i="1"/>
  <c r="K76" i="1" s="1"/>
  <c r="K122" i="1"/>
  <c r="K123" i="1" s="1"/>
  <c r="K184" i="1"/>
  <c r="G184" i="1"/>
  <c r="K154" i="1"/>
  <c r="L154" i="1" s="1"/>
  <c r="G155" i="1"/>
  <c r="K188" i="1"/>
  <c r="L188" i="1" s="1"/>
  <c r="K119" i="1"/>
  <c r="K149" i="1"/>
  <c r="I155" i="1"/>
  <c r="K131" i="1"/>
  <c r="K140" i="1"/>
  <c r="K93" i="1"/>
  <c r="L93" i="1"/>
  <c r="L174" i="1"/>
  <c r="L183" i="1"/>
  <c r="L184" i="1" s="1"/>
  <c r="L158" i="1"/>
  <c r="L169" i="1" s="1"/>
  <c r="L149" i="1"/>
  <c r="L131" i="1"/>
  <c r="L112" i="1"/>
  <c r="L119" i="1" s="1"/>
  <c r="G123" i="1"/>
  <c r="L135" i="1"/>
  <c r="L140" i="1" s="1"/>
  <c r="K97" i="1"/>
  <c r="K52" i="1"/>
  <c r="L52" i="1" s="1"/>
  <c r="L54" i="1" s="1"/>
  <c r="G25" i="1"/>
  <c r="K33" i="1"/>
  <c r="L25" i="1"/>
  <c r="G72" i="1"/>
  <c r="K82" i="1"/>
  <c r="L82" i="1" s="1"/>
  <c r="K39" i="1"/>
  <c r="K49" i="1"/>
  <c r="G76" i="1"/>
  <c r="K67" i="1"/>
  <c r="L79" i="1"/>
  <c r="L61" i="1"/>
  <c r="L67" i="1" s="1"/>
  <c r="L70" i="1"/>
  <c r="L72" i="1" s="1"/>
  <c r="L49" i="1"/>
  <c r="G54" i="1"/>
  <c r="L57" i="1"/>
  <c r="L58" i="1" s="1"/>
  <c r="L21" i="1"/>
  <c r="L33" i="1"/>
  <c r="K21" i="1"/>
  <c r="L24" i="1"/>
  <c r="L38" i="1"/>
  <c r="L39" i="1" s="1"/>
  <c r="L187" i="1" l="1"/>
  <c r="L189" i="1" s="1"/>
  <c r="K189" i="1"/>
  <c r="L75" i="1"/>
  <c r="L76" i="1" s="1"/>
  <c r="L179" i="1"/>
  <c r="L122" i="1"/>
  <c r="L123" i="1" s="1"/>
  <c r="K155" i="1"/>
  <c r="L155" i="1" s="1"/>
  <c r="K54" i="1"/>
  <c r="G21" i="1"/>
  <c r="F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Ivis N. Montero Matos</author>
  </authors>
  <commentList>
    <comment ref="L155" authorId="0" shapeId="0" xr:uid="{65736D90-A1AD-4FBB-B223-189E692F27B3}">
      <text>
        <r>
          <rPr>
            <b/>
            <sz val="9"/>
            <color indexed="81"/>
            <rFont val="Tahoma"/>
            <family val="2"/>
          </rPr>
          <t>Ivis N. Montero Matos:</t>
        </r>
        <r>
          <rPr>
            <sz val="9"/>
            <color indexed="81"/>
            <rFont val="Tahoma"/>
            <family val="2"/>
          </rPr>
          <t xml:space="preserve">
CONTINUAR AQUÍ CON DIFERENCIA DE 0.60</t>
        </r>
      </text>
    </comment>
  </commentList>
</comments>
</file>

<file path=xl/sharedStrings.xml><?xml version="1.0" encoding="utf-8"?>
<sst xmlns="http://schemas.openxmlformats.org/spreadsheetml/2006/main" count="1329" uniqueCount="375">
  <si>
    <t>Capitulo: 0221</t>
  </si>
  <si>
    <t>Sub Capitulo: 01</t>
  </si>
  <si>
    <t>DAF: 01</t>
  </si>
  <si>
    <t>UE: 0002</t>
  </si>
  <si>
    <t>Programa: 17</t>
  </si>
  <si>
    <t>Sub Programa: 02</t>
  </si>
  <si>
    <t>Proyecto: 0</t>
  </si>
  <si>
    <t>Actividad: 0001</t>
  </si>
  <si>
    <t>Cuenta: 2.1.1.1.0.1</t>
  </si>
  <si>
    <t>Fondo: 0100</t>
  </si>
  <si>
    <t>Dirección General</t>
  </si>
  <si>
    <t>No.</t>
  </si>
  <si>
    <t>Servidor Público</t>
  </si>
  <si>
    <t>Cargo</t>
  </si>
  <si>
    <t>Genero</t>
  </si>
  <si>
    <t>Estatus</t>
  </si>
  <si>
    <t>Ingreso Bruto</t>
  </si>
  <si>
    <t>AFP</t>
  </si>
  <si>
    <t>ISR</t>
  </si>
  <si>
    <t>SFS</t>
  </si>
  <si>
    <t>Otros Desc.</t>
  </si>
  <si>
    <t>Total Desc.</t>
  </si>
  <si>
    <t>Neto</t>
  </si>
  <si>
    <t>ROSA LINDA PEREZ MEDRANO</t>
  </si>
  <si>
    <t>ASISTENTE DEL DIRECTOR</t>
  </si>
  <si>
    <t>F</t>
  </si>
  <si>
    <t>SERVIDOR PÚBLICO DE CARRERA</t>
  </si>
  <si>
    <t>GREGORIO DE JESUS MONTERO MONTERO</t>
  </si>
  <si>
    <t>DIRECTOR GENERAL</t>
  </si>
  <si>
    <t>M</t>
  </si>
  <si>
    <t xml:space="preserve">FUNCIONARIO DE LIBRE NOMBRAMIENTO Y REMOCIÓN </t>
  </si>
  <si>
    <t>ROSA CAMILA RIVERA ACOSTA</t>
  </si>
  <si>
    <t>SUB DIRECTORA</t>
  </si>
  <si>
    <t>ANGEL EDUARDO FAMILIA JIMENEZ</t>
  </si>
  <si>
    <t>SUB-DIRECTOR</t>
  </si>
  <si>
    <t>FRANCISCO ANIBAL GONZALEZ</t>
  </si>
  <si>
    <t>ASESOR (A)</t>
  </si>
  <si>
    <t>SERVIDOR PUBLICO NOMBRADO</t>
  </si>
  <si>
    <t>SONIA ESTHER LOPEZ PEREZ</t>
  </si>
  <si>
    <t>LESLIE SIRAHIDEE UREÑA MELLA</t>
  </si>
  <si>
    <t>ASISTENTE DE LA SUBDIRECCION</t>
  </si>
  <si>
    <t>SERVIDOR PÚBLICO NOMBRADO</t>
  </si>
  <si>
    <t>SARAH STEFFANY TORRES GOMEZ</t>
  </si>
  <si>
    <t>SECRETARIA DEL DIRECTOR</t>
  </si>
  <si>
    <t>SANDY NICOLAS LUCIANO MATOS</t>
  </si>
  <si>
    <t>CHOFER DEL DIRECTOR</t>
  </si>
  <si>
    <t>DANESCA MARRERO MARCANO</t>
  </si>
  <si>
    <t>ERICKA LORENZO DE LA ROSA</t>
  </si>
  <si>
    <t>CONSERJE</t>
  </si>
  <si>
    <t>Sub Total:</t>
  </si>
  <si>
    <t>Sección de Libre Acceso a la Información</t>
  </si>
  <si>
    <t>DRIADES NAYADE FERRERAS GOMEZ</t>
  </si>
  <si>
    <t>ENC. SECCION LIBRE ACCESO A LA INFORMACION  RAI</t>
  </si>
  <si>
    <t>Departamento de Comunicaciones</t>
  </si>
  <si>
    <t>MIGUEL ANGEL BONIFACIO PEÑA</t>
  </si>
  <si>
    <t>REALIZADOR AUDIOVISUAL</t>
  </si>
  <si>
    <t>JACQUELINE ALTAGRACIA RAMOS CONCEPCION</t>
  </si>
  <si>
    <t>ASESORA</t>
  </si>
  <si>
    <t>GIANNA  DE JESUS ORTIZ ZACARIAS</t>
  </si>
  <si>
    <t>ARLET NATIVIDAD REYES ROJAS</t>
  </si>
  <si>
    <t>GESTOR DE REDES SOCIALES</t>
  </si>
  <si>
    <t>SADAM SEBASTIAN SURIEL DELORBE</t>
  </si>
  <si>
    <t>TECNICO EN COMUNICACIÓN</t>
  </si>
  <si>
    <t xml:space="preserve">Departamento Jurídico </t>
  </si>
  <si>
    <t>ALTAGRACIA SVELTRINA GARCIA SICARD DE DIAZ</t>
  </si>
  <si>
    <t>ENC. DEPTO. JURIDICO</t>
  </si>
  <si>
    <t>MANUEL ANTONIO BAUTISTA MEJIA</t>
  </si>
  <si>
    <t>ANALISTA LEGAL</t>
  </si>
  <si>
    <t>YASAIRA ENCARNACION LARA</t>
  </si>
  <si>
    <t>AUXILIAR ADMINISTRATIVO I</t>
  </si>
  <si>
    <t>Departamento de Recursos Humanos</t>
  </si>
  <si>
    <t>CLARIVEL CASTRO</t>
  </si>
  <si>
    <t>ENC. DPTO. DE RECURSOS HUMANO</t>
  </si>
  <si>
    <t>MARIA ESTELA CLEMENTE GIL</t>
  </si>
  <si>
    <t>ENC, DPTO. DE RECURSOS HUMANOS</t>
  </si>
  <si>
    <t>SERVIDOR PUBLICO DE CARRERA</t>
  </si>
  <si>
    <t>DEBRA STEPHANIE HERNANDEZ MORALES</t>
  </si>
  <si>
    <t>ANALISTA DE RECURSOS HUMANOS</t>
  </si>
  <si>
    <t>SONIA CASTILLO GERALDO</t>
  </si>
  <si>
    <t>JOSE AMAURIS NOBLE JIMENEZ</t>
  </si>
  <si>
    <t>RUT SOLANGE GUZMAN ADAMES</t>
  </si>
  <si>
    <t>DAURY CASANOVA MONTERO</t>
  </si>
  <si>
    <t>SECRETARIA</t>
  </si>
  <si>
    <t>Departamento de Planificación y Desarrollo</t>
  </si>
  <si>
    <t>División Contabilidad</t>
  </si>
  <si>
    <t>MARIA TERESA LEON PAULINO DE RODRIGUEZ</t>
  </si>
  <si>
    <t xml:space="preserve">TÉCNICO ADMINISTRATIVO         </t>
  </si>
  <si>
    <t>BERONICA BONILLA</t>
  </si>
  <si>
    <t>AUXILIAR ADMINISTRATIVO (A)</t>
  </si>
  <si>
    <t>División de Desarrollo Institucional y Calidad de la Gestión</t>
  </si>
  <si>
    <t>CRONNY MABEL PEREZ  PEREZ</t>
  </si>
  <si>
    <t>ENC. INTERINA DEPTO. DE DESARROLLO INSTITUCIONAL Y CALIDAD</t>
  </si>
  <si>
    <t>Departamento de Tecnologías de la Información y Comunicación</t>
  </si>
  <si>
    <t>NARCISO JIMENEZ DE LOS SANTOS</t>
  </si>
  <si>
    <t>AUXILIAR COORDINANCION VIRTUAL</t>
  </si>
  <si>
    <t>ANGEL WANDER MOREZUX FULCAR</t>
  </si>
  <si>
    <t>ADMINISTRADOR DE RED</t>
  </si>
  <si>
    <t>CHEEDY JIOWETHER JAMES</t>
  </si>
  <si>
    <t>ENC. DIVISION DE TECNOLOGIAS DE LA INFORMACION Y COMUNICACION</t>
  </si>
  <si>
    <t>RAFAEL ANTONIO TAVAREZ ROSADO</t>
  </si>
  <si>
    <t>WEB MASTER</t>
  </si>
  <si>
    <t>RAFAEL ANGEL MARTINEZ SORIANO</t>
  </si>
  <si>
    <t>TECNICO EN PROGRAMACION</t>
  </si>
  <si>
    <t>FABIAN ESTABAN MATOS ENCARNACION</t>
  </si>
  <si>
    <t>AUXILIAR ADMINISTRATIVO</t>
  </si>
  <si>
    <t>Departamento Administrativo Financiero</t>
  </si>
  <si>
    <t>CATALINA FELIZ TERRERO</t>
  </si>
  <si>
    <t>ENC. ADMINISTRATIVO Y FINANCIERO</t>
  </si>
  <si>
    <t>LLUMERQUI ANTONIO LEDESMA DIAZ</t>
  </si>
  <si>
    <t>ANALISTA FINANCIERO</t>
  </si>
  <si>
    <t>Sección de Presupuesto</t>
  </si>
  <si>
    <t>JUANA MARIA RODRIGUEZ GARCIA</t>
  </si>
  <si>
    <t>División de Contabilidad</t>
  </si>
  <si>
    <t>KATHIA VELEZ RAMIREZ</t>
  </si>
  <si>
    <t xml:space="preserve">ANALISTA DE COMPRAS Y CONTRATACIONES   </t>
  </si>
  <si>
    <t>IVIS NEWILL MONTERO MATOS</t>
  </si>
  <si>
    <t>CONTADORA</t>
  </si>
  <si>
    <t>RHINA YOMIRA PEÑA BELLO</t>
  </si>
  <si>
    <t>ALBA IRIS PEÑA MARRERO</t>
  </si>
  <si>
    <t>División Administrativa</t>
  </si>
  <si>
    <t>EMILIANO DEL ROSARIO GENAO</t>
  </si>
  <si>
    <t>CONTADOR</t>
  </si>
  <si>
    <t>VICTOR ALFONSO MORILLO GONZALEZ</t>
  </si>
  <si>
    <t>DEURI LARA SUAREZ</t>
  </si>
  <si>
    <t>CHOFER</t>
  </si>
  <si>
    <t>ALEXANDRA ACOSTA</t>
  </si>
  <si>
    <t>DANIS RAMIREZ MONTERO</t>
  </si>
  <si>
    <t>MARIA ALEJANDRINA MELENDEZ GERALDO</t>
  </si>
  <si>
    <t xml:space="preserve">AUXILIAR ADMINISTRATIVO         </t>
  </si>
  <si>
    <t>NICOLLE FRANSHESCA CANARIO SANTOS</t>
  </si>
  <si>
    <t>RECEPCIONISTA</t>
  </si>
  <si>
    <t>JORDANY ROSARIO MARTINEZ</t>
  </si>
  <si>
    <t>Sección de Compras y Contrataciones</t>
  </si>
  <si>
    <t>KEICI ORTIZ BATISTA</t>
  </si>
  <si>
    <t>TECNICO DE COMPRAS</t>
  </si>
  <si>
    <t>Sección de Servicios Generales</t>
  </si>
  <si>
    <t>ANTONIO VENTURA</t>
  </si>
  <si>
    <t>ANA HILDA RAMIREZ MELLA</t>
  </si>
  <si>
    <t>ABRAHAN FRANCISCO COMARAZAMY FLORENTINO</t>
  </si>
  <si>
    <t>ENC. SECCION DE SERVICIO GENERALES</t>
  </si>
  <si>
    <t>REGINA JIMENEZ DE LA CRUZ</t>
  </si>
  <si>
    <t>SERVIDOR PÚBLISO DE CARRERA</t>
  </si>
  <si>
    <t>AURELINA ROJAS</t>
  </si>
  <si>
    <t>HERMINIA ENCARNACION ROSARIO</t>
  </si>
  <si>
    <t>ELENA FLORENTINO</t>
  </si>
  <si>
    <t>YAJAHIRA GARCIA CLETO</t>
  </si>
  <si>
    <t xml:space="preserve">CONSERJE </t>
  </si>
  <si>
    <t xml:space="preserve">CARLOS JESUS ALMEYDA CALCAÑO </t>
  </si>
  <si>
    <t>ELECTRICISTA</t>
  </si>
  <si>
    <t>WINSTON RAFAEL CABRERA ENCARNACION</t>
  </si>
  <si>
    <t>AYUDANTE DE MATENIMIENTO</t>
  </si>
  <si>
    <t>JOSE GALAN ROSARIO</t>
  </si>
  <si>
    <t>ALEX MILLER BAEZ URIBE</t>
  </si>
  <si>
    <t>MILCO JUNIOR PILARTE RODRÍGUEZ</t>
  </si>
  <si>
    <t>MENSAJERO EXTERNO</t>
  </si>
  <si>
    <t>BRYAN ANEURYS CABRERA RODRÍGUEZ</t>
  </si>
  <si>
    <t xml:space="preserve">CHOFER         </t>
  </si>
  <si>
    <t>RANDY ANTHONY MARTINEZ LEYBA</t>
  </si>
  <si>
    <t>CAROLINA VARGAS VASQUEZ</t>
  </si>
  <si>
    <t>EDWARD MARTINEZ POZO</t>
  </si>
  <si>
    <t>KELVIN REVI ALMANZAR</t>
  </si>
  <si>
    <t>PABLO ANTONIO DIAZ GARCIA</t>
  </si>
  <si>
    <t>Sección de Almacén</t>
  </si>
  <si>
    <t>JERSON RIVERA FIGUEREO</t>
  </si>
  <si>
    <t>TECNICO ADMINISTRATIVO</t>
  </si>
  <si>
    <t xml:space="preserve">Departamento de Formación Docente </t>
  </si>
  <si>
    <t>WILKANIA YASSIEL PEÑA ROJAS</t>
  </si>
  <si>
    <t>SHAMIR ENMANUEL MEDINA GUZMAN</t>
  </si>
  <si>
    <t>ROSA MARIA BONILLA MONTERO</t>
  </si>
  <si>
    <t>ROGELIA RUBIO CUEVAS</t>
  </si>
  <si>
    <t>ASISTENTE DEL SUBDIRECTOR</t>
  </si>
  <si>
    <t>LEOPOLDO FIDEL GRULLON GUZMAN</t>
  </si>
  <si>
    <t>SOPORTE USUARIO I</t>
  </si>
  <si>
    <t>Sub-Capitulo: 01</t>
  </si>
  <si>
    <t>UE:
0002</t>
  </si>
  <si>
    <t>Sub-Programa 
02</t>
  </si>
  <si>
    <t>Proyecto 
0</t>
  </si>
  <si>
    <t>Actividad: 0002</t>
  </si>
  <si>
    <t>Cuenta 2.1.1.1.0.1</t>
  </si>
  <si>
    <t>Fondo:
0100</t>
  </si>
  <si>
    <t xml:space="preserve">Departamento de Investigación e Innovación </t>
  </si>
  <si>
    <t>ALEXANDRA IRONIA LIBERATO RODRIGUEZ</t>
  </si>
  <si>
    <t xml:space="preserve">ENC. DEPARTAMENTO INVESTIGACION         </t>
  </si>
  <si>
    <t>NANCY MIGUELINA DRULLARD FELIZ</t>
  </si>
  <si>
    <t xml:space="preserve">COORDINADOR ACADÉMICO         </t>
  </si>
  <si>
    <t>HILDA ARASELIS CASTRO HUGGINS</t>
  </si>
  <si>
    <t>ANALISTA DE ACREDITACION Y CERTIFICACION</t>
  </si>
  <si>
    <t>HEIDI CAROLINA DE LA CRUZ</t>
  </si>
  <si>
    <t>IAN CRISTIAN SOTO FELIX</t>
  </si>
  <si>
    <t xml:space="preserve">TECNICO ADMINISTRATIVO </t>
  </si>
  <si>
    <t>Departamento Técnico Académico</t>
  </si>
  <si>
    <t>DEILIN RICARDO MATOS CARRASCO</t>
  </si>
  <si>
    <t>AUXILIAR ACADEMICO</t>
  </si>
  <si>
    <t>RIXI ALONDRA MELO AQUINO</t>
  </si>
  <si>
    <t>ALBERT MANUEL FIGUEREO RINCON</t>
  </si>
  <si>
    <t>LEA PAULINO MORALES</t>
  </si>
  <si>
    <t>COORDINADOR ACADEMICO</t>
  </si>
  <si>
    <t>JULANY VALENTINA CUESTA GUZMAN</t>
  </si>
  <si>
    <t>ENC. DEPARTAMENTO TECNICO ACADEMICO</t>
  </si>
  <si>
    <t>MIGUELINA CORPORAN RODRIGUEZ</t>
  </si>
  <si>
    <t>División de Desarrollo Curricular y Docente</t>
  </si>
  <si>
    <t>LUZ MARIA BATISTA GALVAN</t>
  </si>
  <si>
    <t>COORDINADORA CAPAC. Y DESARROLLO</t>
  </si>
  <si>
    <t>BERTHA LIDIA ESPINOSA PEREZ</t>
  </si>
  <si>
    <t>ENC. DIVISION DE GESTION DE ADMISION ACADEMICA</t>
  </si>
  <si>
    <t>ANA PATRICIA CASTRO MENDOZA</t>
  </si>
  <si>
    <t>Departamento de Extensiones</t>
  </si>
  <si>
    <r>
      <t xml:space="preserve">KIRSY ALANA MEJIA UBIERA </t>
    </r>
    <r>
      <rPr>
        <i/>
        <sz val="12"/>
        <color rgb="FF000000"/>
        <rFont val="Times New Roman"/>
        <family val="1"/>
      </rPr>
      <t>(San Pedro de Macorís)</t>
    </r>
  </si>
  <si>
    <r>
      <t xml:space="preserve">ANGEL LEONARDO PLATA VENTURA </t>
    </r>
    <r>
      <rPr>
        <i/>
        <sz val="12"/>
        <color rgb="FF000000"/>
        <rFont val="Times New Roman"/>
        <family val="1"/>
      </rPr>
      <t>(San Francisco de Macorís)</t>
    </r>
  </si>
  <si>
    <r>
      <t>MARIO RODRIGUEZ MONTERO</t>
    </r>
    <r>
      <rPr>
        <i/>
        <sz val="12"/>
        <color rgb="FF000000"/>
        <rFont val="Times New Roman"/>
        <family val="1"/>
      </rPr>
      <t xml:space="preserve"> (San Juan de la Maguana)</t>
    </r>
  </si>
  <si>
    <t>EURIDICE WALKIRIA DIAZ LIRANZO</t>
  </si>
  <si>
    <t>SECRETARIA I</t>
  </si>
  <si>
    <r>
      <t xml:space="preserve">BELLANIRIS SANTOS REYES </t>
    </r>
    <r>
      <rPr>
        <i/>
        <sz val="12"/>
        <color rgb="FF000000"/>
        <rFont val="Times New Roman"/>
        <family val="1"/>
      </rPr>
      <t>(La Vega)</t>
    </r>
  </si>
  <si>
    <r>
      <t xml:space="preserve">YORCITO MATOS SANTOS </t>
    </r>
    <r>
      <rPr>
        <i/>
        <sz val="12"/>
        <color rgb="FF000000"/>
        <rFont val="Times New Roman"/>
        <family val="1"/>
      </rPr>
      <t>(Baní)</t>
    </r>
  </si>
  <si>
    <t>CARLOS MANUEL SANTOS</t>
  </si>
  <si>
    <t>ENC. DIVISION DE EXTENCIONES</t>
  </si>
  <si>
    <r>
      <t xml:space="preserve">RAMON FERNANDO TAVAREZ REYNOSO </t>
    </r>
    <r>
      <rPr>
        <i/>
        <sz val="12"/>
        <color rgb="FF000000"/>
        <rFont val="Times New Roman"/>
        <family val="1"/>
      </rPr>
      <t>(Santiago de los Caballeros)</t>
    </r>
  </si>
  <si>
    <t xml:space="preserve">AUXILIAR ADMINISTRATIVO </t>
  </si>
  <si>
    <t>PAMELA ARACHE</t>
  </si>
  <si>
    <t>BIENVENIDO ROSARIO CEBALLOS (Santiago de los Caballeros)</t>
  </si>
  <si>
    <t>FATIMA DEL ROSARIO MESA BATISTA</t>
  </si>
  <si>
    <t>División de  Coordinación de Eventos Formativos</t>
  </si>
  <si>
    <t>NICOLAS SALAS GRAJALES</t>
  </si>
  <si>
    <t>SANTA TERESA LOPEZ FELIZ</t>
  </si>
  <si>
    <t>ELIEZER RAMIREZ MEDINA</t>
  </si>
  <si>
    <t>JACKIRI ALEXANDRA CARRION RAMOS</t>
  </si>
  <si>
    <t>NARDIN GERALDO HEREDIA</t>
  </si>
  <si>
    <t>COORDINADOR (A)</t>
  </si>
  <si>
    <t>MARIA ISABEL JIMENEZ CASTRO</t>
  </si>
  <si>
    <t>OFICIAL ACADEMICO</t>
  </si>
  <si>
    <t>SUSANA DURAN SANCHEZ</t>
  </si>
  <si>
    <t>División de Admisión e Información</t>
  </si>
  <si>
    <t>ISAAC ESPINOSA GUZMAN</t>
  </si>
  <si>
    <t>JENCY IVERSON CARABALLO GUZMAN</t>
  </si>
  <si>
    <t>ENC. INTERINO DIVISION DE ADMISION E INFORMACION</t>
  </si>
  <si>
    <t>División de Coordinación de Profesionalización</t>
  </si>
  <si>
    <t>ELIZABETH ANJINETH TRONCOSO FIGUEROA</t>
  </si>
  <si>
    <t>ENC. INTERINO DIVISION DE COORDINACION Y PROFESIONALIZACION</t>
  </si>
  <si>
    <t>MIRIAM CAMBERO MARTE</t>
  </si>
  <si>
    <t>ENC. DIVISION ADMISION Y REGISTRO ACADEMICO</t>
  </si>
  <si>
    <t>Sub total</t>
  </si>
  <si>
    <t>Total General</t>
  </si>
  <si>
    <t xml:space="preserve">                              PREPARADO POR:</t>
  </si>
  <si>
    <t>REVISADO POR:</t>
  </si>
  <si>
    <t>APROBADO POR:</t>
  </si>
  <si>
    <t xml:space="preserve"> </t>
  </si>
  <si>
    <t xml:space="preserve">                                                    SRA. IVIS N. MONTERO MATOS</t>
  </si>
  <si>
    <t>SRA. CATALINA FELIZ TERRERO</t>
  </si>
  <si>
    <t>SR. GREGORIO MONTERO</t>
  </si>
  <si>
    <t xml:space="preserve">                                   CONTADORA</t>
  </si>
  <si>
    <t>ENC. ADMINISTRATIVO FINANCIERO</t>
  </si>
  <si>
    <t>TOTAL INGRESOS</t>
  </si>
  <si>
    <t>OTRO DESC</t>
  </si>
  <si>
    <t>TOTAL DESC</t>
  </si>
  <si>
    <t>TOTAL NETO</t>
  </si>
  <si>
    <t xml:space="preserve">FIJO TOTALTES </t>
  </si>
  <si>
    <t>INTERINATO TOTALES</t>
  </si>
  <si>
    <t>SUPLENCIA</t>
  </si>
  <si>
    <t>TOTALES GENERAL</t>
  </si>
  <si>
    <t>Capitulo: 221</t>
  </si>
  <si>
    <t>Cuenta: 2.1.1.2.0.8</t>
  </si>
  <si>
    <t>DEPARTAMENTO DE COMUNICACIONES</t>
  </si>
  <si>
    <t>Nombramiento Temporal</t>
  </si>
  <si>
    <t>ARMANDO JOSE RABASSA ROSARIO</t>
  </si>
  <si>
    <t>DISEÑADOR GRAFICO</t>
  </si>
  <si>
    <t>SERVIDOR PÚBLICO CONTRATADO</t>
  </si>
  <si>
    <t>01/10/2024 - 31/03/2025</t>
  </si>
  <si>
    <t>0.00</t>
  </si>
  <si>
    <t>MELISSA DE LA ROSA RODRÍGUEZ</t>
  </si>
  <si>
    <t>ENC. DEL DEPARTAMENTO DE COMUNCIACIONES</t>
  </si>
  <si>
    <t>01/04/2025 - 30/09/2025</t>
  </si>
  <si>
    <t xml:space="preserve">                           </t>
  </si>
  <si>
    <t>DEPARTAMENTO DE RECURSOS HUMANOS</t>
  </si>
  <si>
    <t>GLENNYS ARLENE DIAZ RAMRIEZ</t>
  </si>
  <si>
    <t>01/03/2025 - 30/09/2025</t>
  </si>
  <si>
    <t>DEPARTAMENTO JURIDICO</t>
  </si>
  <si>
    <t>BIEMBO ARIEL DE OLEO DE OLEO</t>
  </si>
  <si>
    <t>01/07/2025 -31/12/2025</t>
  </si>
  <si>
    <t>DEPARTAMENTO DE PLANIFICACION Y DESARROLLO</t>
  </si>
  <si>
    <t>JOHANNY MERCEDES CUEVAS RAMOS</t>
  </si>
  <si>
    <t xml:space="preserve">ENCARGADO DEL DEPARTAMENTO DE PLANIFICACIÓN Y DESARROLLO       </t>
  </si>
  <si>
    <t>01/10/2025 -30/04/2026</t>
  </si>
  <si>
    <t>JUANA ELENA RODRIGUEZ VASQUEZ</t>
  </si>
  <si>
    <t>ANALISTA DE PROGRAMACION ACADEMICA</t>
  </si>
  <si>
    <t>01/04/2025 -31/10/2025</t>
  </si>
  <si>
    <t>MARIA ISABEL DE JESUS CRUZ DE REYES</t>
  </si>
  <si>
    <t>ANALISTA DE EQUIDAD DE GENERO</t>
  </si>
  <si>
    <t>01/09/2025 -30/03/2026</t>
  </si>
  <si>
    <t>DIVISIÓN DE CONTABILIDAD</t>
  </si>
  <si>
    <t>YILIAM DE LA ROSA MALDONADO</t>
  </si>
  <si>
    <t xml:space="preserve">TÉCNICO DE CONTABILIDAD         </t>
  </si>
  <si>
    <t>01/11/2024 - 30/04/2025</t>
  </si>
  <si>
    <t>DIVISION DE DESARROLLO INSTITUCIONAL Y CALIDAD EN LA GESTION</t>
  </si>
  <si>
    <t>DENIS URIBE FERRERAS</t>
  </si>
  <si>
    <t>ANALISTA DE CALIDAD EN LA GESTION</t>
  </si>
  <si>
    <t>01/04/2025 - 01/10/2025</t>
  </si>
  <si>
    <t>SECCION DE ALMACEN</t>
  </si>
  <si>
    <t>HALINSON HIPOLITO DE LA CRUZ JIMENEZ</t>
  </si>
  <si>
    <t xml:space="preserve">ENCARGADO/A SECCION DE ALMACEN         </t>
  </si>
  <si>
    <t>01/09/2024 - 28/02/2025</t>
  </si>
  <si>
    <t>SECCION DE COMPRAS Y CONTRATACIONES</t>
  </si>
  <si>
    <t>EUGENIO EMILIO MORETA PEREZ</t>
  </si>
  <si>
    <t>01/01/2025 - 30/06/2025</t>
  </si>
  <si>
    <t>INSTITUTO NACIONAL DE ADMINISTRACION PUBLICA</t>
  </si>
  <si>
    <t>ANGEL PASTOR DE JESUS MORENO GARCIA</t>
  </si>
  <si>
    <t>ENCARGADO DEL CENTRO DE DOCUMENTACION</t>
  </si>
  <si>
    <t>01/08/2024 - 31/01/2025</t>
  </si>
  <si>
    <t>ELVINALISA DEL CARMEN ALMONTE REODRIGUEZ</t>
  </si>
  <si>
    <t>ENCARGADO OFICINA REGIONAL NORTE</t>
  </si>
  <si>
    <t>1/8/2024 - 31/05/2025</t>
  </si>
  <si>
    <t>LEONCIO JIMENEZ ORTIZ</t>
  </si>
  <si>
    <t>1/8/2024 - 31/01/2025</t>
  </si>
  <si>
    <t>MARTIN APOLONIO SANCHEZ ARTILES</t>
  </si>
  <si>
    <t>ENCARGADO DE LA DIVISION ADMINISTRATIVA</t>
  </si>
  <si>
    <t>1/8/2024 -31/05/2025</t>
  </si>
  <si>
    <t>UE: 002</t>
  </si>
  <si>
    <t>DEPARTAMENTO DE INVESTIGACION E INNOVACION</t>
  </si>
  <si>
    <t>MABEL ARLETTE FERNANDEZ MATEO</t>
  </si>
  <si>
    <t xml:space="preserve">ENCARGADO (A) FORMULACION, MONITOREO Y EVALUACION PPP         </t>
  </si>
  <si>
    <t>CARMEN DAIANA GONZALEZ MOREL</t>
  </si>
  <si>
    <t>ANALISTA DE INVESTIGACION</t>
  </si>
  <si>
    <t>DEANNYS MILAGROS GONZALEZ JIMENEZ</t>
  </si>
  <si>
    <t>DEPARTAMENTO TECNICO ACADEMICO</t>
  </si>
  <si>
    <t>ARLENE  IRENE BENCOSME REYES</t>
  </si>
  <si>
    <t>ANALISTA DE ACREDITACION Y CE</t>
  </si>
  <si>
    <t>MARIO ALBERTO CRUSSET NUÑEZ</t>
  </si>
  <si>
    <t>TANIA MARIA HERNANDEZ BEATO</t>
  </si>
  <si>
    <t>01/08/2024 - 31/05/2025</t>
  </si>
  <si>
    <t xml:space="preserve">  </t>
  </si>
  <si>
    <t>DEPARTAMENTO DE RECURSOS FORMATIVOS DIGITALES</t>
  </si>
  <si>
    <t>JULIO CESAR CASTRO</t>
  </si>
  <si>
    <t>DIVISION DE EXTENSIONES</t>
  </si>
  <si>
    <t>EVELYN AMADOR CASTILLO</t>
  </si>
  <si>
    <t>COORDINADORA ACADEMICO</t>
  </si>
  <si>
    <t>JUAN DE LA ROSA BELLO CUEVAS</t>
  </si>
  <si>
    <t>01/10/2024- 31/03/2025</t>
  </si>
  <si>
    <t>FAUSTINA PÉREZ DE CASTILLO</t>
  </si>
  <si>
    <t>GISSEL MANZUETA NUÑEZ</t>
  </si>
  <si>
    <t>YANIRIS ALTAGRACIA ESPINAL JORGE</t>
  </si>
  <si>
    <t>01/12/2024 - 31/05/2025</t>
  </si>
  <si>
    <t>DIVISIÓN DE COORDINACION DE EVENTOS FORMATIVOS</t>
  </si>
  <si>
    <t>PEDRO MICHEL FIGUEROA</t>
  </si>
  <si>
    <t>01/05/2025 -30/11/2025</t>
  </si>
  <si>
    <t>CLARIBEL ZABALA LA PAIX</t>
  </si>
  <si>
    <t>01/07/2025 31/12/2025</t>
  </si>
  <si>
    <t>DIVISION DE ADMISION E INFORMACION</t>
  </si>
  <si>
    <t>ELSA ALEJANDRINA CARRASCO VARGAS</t>
  </si>
  <si>
    <t xml:space="preserve">ENCARGADO DEPARTAMENTO DE FORMACION DOCENTE         </t>
  </si>
  <si>
    <t>Total General:</t>
  </si>
  <si>
    <t xml:space="preserve">                                          SRA. IVIS N. MONTERO MATOS</t>
  </si>
  <si>
    <t xml:space="preserve">                           CONTADORA</t>
  </si>
  <si>
    <t>Cuenta: 2.1.2.2.0.5</t>
  </si>
  <si>
    <t>Direccion General</t>
  </si>
  <si>
    <t>JAIRO RAFAEL RODRIGUEZ ORTIZ</t>
  </si>
  <si>
    <t>ASISTENTE DE SEGURIDAD</t>
  </si>
  <si>
    <t>PERSONAL DE VIGILANCIA</t>
  </si>
  <si>
    <t>MANUEL VIZCAINO VIZCAINO</t>
  </si>
  <si>
    <t>MIEMBRO DE SEGURIDAD</t>
  </si>
  <si>
    <t>YAIRENIS PAREDES CASTILLO</t>
  </si>
  <si>
    <t>RICHAL IVAN LUIS FELIZ</t>
  </si>
  <si>
    <t>OFICIAL VIGILANCIA RECEPCION</t>
  </si>
  <si>
    <t>WANYI SANCHEZ NUÑEZ</t>
  </si>
  <si>
    <t>SEGURIDAD</t>
  </si>
  <si>
    <t xml:space="preserve">                                            SRA. IVIS N. MONTERO MATOS</t>
  </si>
  <si>
    <t xml:space="preserve">                         CONTADORA</t>
  </si>
  <si>
    <t>INSTITUTO NACIONAL DE ADMINISTRACIÓN PÚBLICA 
(INAP)
NÓMINA DE PERSONAL FIJO CORRESPONDIENTES AL MES DE NOVIEMBRE 2025</t>
  </si>
  <si>
    <t>INSTITUTO NACIONAL DE ADMINISTRACIÓN PÚBLICA 
(INAP)
NÓMINA DE PERSONAL CONTRATADO CON CARÁCTER TEMPORAL, CORRESPONDIENTES AL MES DE NOVIEMBRE 2025</t>
  </si>
  <si>
    <r>
      <t xml:space="preserve">INSTITUTO NACIONAL DE ADMINISTRACIÓN PÚBLICA 
(INAP)
</t>
    </r>
    <r>
      <rPr>
        <b/>
        <sz val="12"/>
        <color theme="1"/>
        <rFont val="Segoe UI"/>
        <family val="2"/>
      </rPr>
      <t xml:space="preserve">NÓMINA DE PERSONAL DE VIGILANCIA, CORRESPONDIENTE AL MES DE NOVIEMBRE 2025 </t>
    </r>
  </si>
  <si>
    <t>INSTITUTO NACIONAL DE ADMINISTRACIÓN PÚBLICA 
(INAP)
NÓMINA  DE PERSONAL DE PERÍODO PROBATORIO INGRESO A CARRERA CORRESPONDIENTE AL MES DE NOVIEMBRE 2025</t>
  </si>
  <si>
    <t xml:space="preserve">Cuenta: 2.1.1.2.05 </t>
  </si>
  <si>
    <t>Departamento Adminsitrativo y Financiero</t>
  </si>
  <si>
    <t>ANALISTA DE COMPRAS Y CONTRATACIONES</t>
  </si>
  <si>
    <t>Período Probatorio Ingreso a Carrera</t>
  </si>
  <si>
    <t xml:space="preserve">                                            SRA. IVIS NEWILL MONTERO MATOS</t>
  </si>
  <si>
    <t xml:space="preserve">       CONTADORA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</si>
</sst>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5">
    <font>
      <sz val="11"/>
      <color theme="1"/>
      <name val="Calibri"/>
      <family val="2"/>
      <scheme val="minor"/>
    </font>
    <font>
      <sz val="11"/>
      <color theme="1"/>
      <name val="Calibri"/>
      <family val="2"/>
      <scheme val="minor"/>
    </font>
    <font>
      <sz val="8"/>
      <name val="Calibri"/>
      <family val="2"/>
      <scheme val="minor"/>
    </font>
    <font>
      <b/>
      <sz val="14"/>
      <color theme="1"/>
      <name val="Segoe UI"/>
      <family val="2"/>
    </font>
    <font>
      <sz val="12"/>
      <color indexed="8"/>
      <name val="Segoe UI "/>
    </font>
    <font>
      <b/>
      <sz val="12"/>
      <color indexed="8"/>
      <name val="Segoe UI "/>
    </font>
    <font>
      <sz val="12"/>
      <color theme="1"/>
      <name val="Segoe UI"/>
      <family val="2"/>
    </font>
    <font>
      <b/>
      <sz val="12"/>
      <color theme="1"/>
      <name val="Segoe UI"/>
      <family val="2"/>
    </font>
    <font>
      <b/>
      <sz val="12"/>
      <color theme="1"/>
      <name val="Segoe UI "/>
    </font>
    <font>
      <b/>
      <sz val="16"/>
      <color theme="1"/>
      <name val="Segoe UI"/>
      <family val="2"/>
    </font>
    <font>
      <b/>
      <sz val="14"/>
      <color theme="1"/>
      <name val="Times New Roman"/>
      <family val="1"/>
    </font>
    <font>
      <b/>
      <sz val="20"/>
      <color theme="1"/>
      <name val="Times New Roman"/>
      <family val="1"/>
    </font>
    <font>
      <sz val="12"/>
      <color theme="1"/>
      <name val="Times New Roman"/>
      <family val="1"/>
    </font>
    <font>
      <sz val="12"/>
      <color indexed="8"/>
      <name val="Times New Roman"/>
      <family val="1"/>
    </font>
    <font>
      <sz val="12"/>
      <name val="Times New Roman"/>
      <family val="1"/>
    </font>
    <font>
      <b/>
      <sz val="12"/>
      <color indexed="8"/>
      <name val="Times New Roman"/>
      <family val="1"/>
    </font>
    <font>
      <sz val="11"/>
      <color theme="1"/>
      <name val="Times New Roman"/>
      <family val="1"/>
    </font>
    <font>
      <b/>
      <sz val="11"/>
      <color theme="1"/>
      <name val="Times New Roman"/>
      <family val="1"/>
    </font>
    <font>
      <b/>
      <sz val="11"/>
      <color indexed="8"/>
      <name val="Times New Roman"/>
      <family val="1"/>
    </font>
    <font>
      <b/>
      <sz val="12"/>
      <color theme="1"/>
      <name val="Times New Roman"/>
      <family val="1"/>
    </font>
    <font>
      <sz val="12"/>
      <color rgb="FF000000"/>
      <name val="Times New Roman"/>
      <family val="1"/>
    </font>
    <font>
      <b/>
      <sz val="9"/>
      <color indexed="81"/>
      <name val="Tahoma"/>
      <family val="2"/>
    </font>
    <font>
      <sz val="9"/>
      <color indexed="81"/>
      <name val="Tahoma"/>
      <family val="2"/>
    </font>
    <font>
      <i/>
      <sz val="12"/>
      <color rgb="FF000000"/>
      <name val="Times New Roman"/>
      <family val="1"/>
    </font>
    <font>
      <b/>
      <sz val="12"/>
      <name val="Times New Roman"/>
      <family val="1"/>
    </font>
    <font>
      <b/>
      <sz val="14"/>
      <name val="Times New Roman"/>
      <family val="1"/>
    </font>
    <font>
      <b/>
      <sz val="18"/>
      <color theme="1"/>
      <name val="Times New Roman"/>
      <family val="1"/>
    </font>
    <font>
      <sz val="14"/>
      <color theme="1"/>
      <name val="Times New Roman"/>
      <family val="1"/>
    </font>
    <font>
      <b/>
      <sz val="11"/>
      <color theme="1"/>
      <name val="Calibri"/>
      <family val="2"/>
      <scheme val="minor"/>
    </font>
    <font>
      <b/>
      <sz val="20"/>
      <color theme="1"/>
      <name val="Segoe UI "/>
    </font>
    <font>
      <b/>
      <sz val="14"/>
      <color theme="1"/>
      <name val="Segoe UI "/>
    </font>
    <font>
      <sz val="12"/>
      <name val="Segoe UI "/>
    </font>
    <font>
      <b/>
      <sz val="12"/>
      <name val="Segoe UI "/>
    </font>
    <font>
      <b/>
      <sz val="14"/>
      <name val="Segoe UI "/>
    </font>
    <font>
      <b/>
      <sz val="20"/>
      <name val="Segoe UI "/>
    </font>
    <font>
      <sz val="12"/>
      <name val="Segoe UI"/>
      <family val="2"/>
    </font>
    <font>
      <b/>
      <sz val="12"/>
      <name val="Segoe UI"/>
      <family val="2"/>
    </font>
    <font>
      <b/>
      <sz val="14"/>
      <name val="Segoe UI"/>
      <family val="2"/>
    </font>
    <font>
      <b/>
      <sz val="20"/>
      <name val="Segoe UI"/>
      <family val="2"/>
    </font>
    <font>
      <sz val="11"/>
      <name val="Calibri"/>
      <family val="2"/>
      <scheme val="minor"/>
    </font>
    <font>
      <b/>
      <sz val="20"/>
      <color theme="1"/>
      <name val="Segoe UI"/>
      <family val="2"/>
    </font>
    <font>
      <sz val="12"/>
      <color indexed="8"/>
      <name val="Segoe UI"/>
      <family val="2"/>
    </font>
    <font>
      <sz val="12"/>
      <color theme="1"/>
      <name val="Calibri"/>
      <family val="2"/>
      <scheme val="minor"/>
    </font>
    <font>
      <b/>
      <sz val="12"/>
      <color indexed="8"/>
      <name val="Segoe UI"/>
      <family val="2"/>
    </font>
    <font>
      <sz val="12"/>
      <color rgb="FF000000"/>
      <name val="Segoe UI"/>
      <family val="2"/>
    </font>
  </fonts>
  <fills count="3">
    <fill>
      <patternFill patternType="none"/>
    </fill>
    <fill>
      <patternFill patternType="gray125"/>
    </fill>
    <fill>
      <patternFill patternType="solid">
        <fgColor theme="9" tint="0.79998168889431442"/>
        <bgColor indexed="64"/>
      </patternFill>
    </fill>
  </fills>
  <borders count="36">
    <border>
      <left/>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s>
  <cellStyleXfs count="2">
    <xf numFmtId="0" fontId="0" fillId="0" borderId="0"/>
    <xf numFmtId="43" fontId="1" fillId="0" borderId="0" applyFont="0" applyFill="0" applyBorder="0" applyAlignment="0" applyProtection="0"/>
  </cellStyleXfs>
  <cellXfs count="238">
    <xf numFmtId="0" fontId="0" fillId="0" borderId="0" xfId="0"/>
    <xf numFmtId="43" fontId="5" fillId="0" borderId="0" xfId="1" applyFont="1" applyFill="1" applyBorder="1" applyAlignment="1">
      <alignment horizontal="center" vertical="center" wrapText="1"/>
    </xf>
    <xf numFmtId="0" fontId="6" fillId="0" borderId="0" xfId="0" applyFont="1" applyAlignment="1">
      <alignment horizontal="center" vertical="center"/>
    </xf>
    <xf numFmtId="43" fontId="0" fillId="0" borderId="0" xfId="1" applyFont="1" applyFill="1"/>
    <xf numFmtId="4" fontId="4" fillId="0" borderId="0" xfId="0" applyNumberFormat="1" applyFont="1" applyAlignment="1">
      <alignment horizontal="right" vertical="center"/>
    </xf>
    <xf numFmtId="0" fontId="3" fillId="0" borderId="0" xfId="0" applyFont="1" applyAlignment="1">
      <alignment horizontal="center" vertical="center" wrapText="1"/>
    </xf>
    <xf numFmtId="43" fontId="13" fillId="0" borderId="0" xfId="1" applyFont="1" applyFill="1" applyBorder="1" applyAlignment="1">
      <alignment vertical="center" wrapText="1"/>
    </xf>
    <xf numFmtId="43" fontId="15" fillId="0" borderId="0" xfId="1" applyFont="1" applyFill="1" applyBorder="1" applyAlignment="1">
      <alignment horizontal="center" vertical="center" wrapText="1"/>
    </xf>
    <xf numFmtId="43" fontId="15" fillId="0" borderId="0" xfId="1" applyFont="1" applyFill="1" applyBorder="1" applyAlignment="1">
      <alignment vertical="center" wrapText="1"/>
    </xf>
    <xf numFmtId="43" fontId="15" fillId="0" borderId="0" xfId="1" applyFont="1" applyFill="1" applyBorder="1" applyAlignment="1">
      <alignment horizontal="center" vertical="center"/>
    </xf>
    <xf numFmtId="43" fontId="15" fillId="0" borderId="0" xfId="1" applyFont="1" applyFill="1" applyBorder="1" applyAlignment="1">
      <alignment horizontal="left" vertical="center" wrapText="1"/>
    </xf>
    <xf numFmtId="43" fontId="13" fillId="0" borderId="0" xfId="1" applyFont="1" applyFill="1" applyBorder="1" applyAlignment="1">
      <alignment horizontal="right" vertical="center" wrapText="1"/>
    </xf>
    <xf numFmtId="43" fontId="15" fillId="0" borderId="0" xfId="1" applyFont="1" applyFill="1" applyBorder="1" applyAlignment="1">
      <alignment horizontal="right" vertical="center" wrapText="1"/>
    </xf>
    <xf numFmtId="43" fontId="19" fillId="0" borderId="0" xfId="1" applyFont="1" applyFill="1" applyBorder="1" applyAlignment="1">
      <alignment horizontal="right" vertical="center" wrapText="1"/>
    </xf>
    <xf numFmtId="43" fontId="19" fillId="0" borderId="0" xfId="1" applyFont="1" applyFill="1" applyBorder="1" applyAlignment="1">
      <alignment horizontal="right" vertical="center"/>
    </xf>
    <xf numFmtId="2" fontId="13" fillId="0" borderId="0" xfId="1" applyNumberFormat="1" applyFont="1" applyFill="1" applyBorder="1" applyAlignment="1">
      <alignment vertical="center" wrapText="1"/>
    </xf>
    <xf numFmtId="0" fontId="3" fillId="0" borderId="0" xfId="0" applyFont="1" applyAlignment="1">
      <alignment horizontal="center" vertical="center"/>
    </xf>
    <xf numFmtId="43" fontId="15" fillId="0" borderId="6" xfId="1" applyFont="1" applyFill="1" applyBorder="1" applyAlignment="1">
      <alignment horizontal="center" vertical="center" wrapText="1"/>
    </xf>
    <xf numFmtId="2" fontId="15" fillId="0" borderId="6" xfId="1" applyNumberFormat="1" applyFont="1" applyFill="1" applyBorder="1" applyAlignment="1">
      <alignment horizontal="center" vertical="center" wrapText="1"/>
    </xf>
    <xf numFmtId="43" fontId="15" fillId="0" borderId="9" xfId="1" applyFont="1" applyFill="1" applyBorder="1" applyAlignment="1">
      <alignment vertical="center" wrapText="1"/>
    </xf>
    <xf numFmtId="43" fontId="15" fillId="0" borderId="9" xfId="1" applyFont="1" applyFill="1" applyBorder="1" applyAlignment="1">
      <alignment horizontal="right" vertical="center" wrapText="1"/>
    </xf>
    <xf numFmtId="43" fontId="15" fillId="0" borderId="10" xfId="1" applyFont="1" applyFill="1" applyBorder="1" applyAlignment="1">
      <alignment vertical="center" wrapText="1"/>
    </xf>
    <xf numFmtId="43" fontId="15" fillId="0" borderId="10" xfId="1" applyFont="1" applyFill="1" applyBorder="1" applyAlignment="1">
      <alignment horizontal="right" vertical="center" wrapText="1"/>
    </xf>
    <xf numFmtId="4" fontId="6" fillId="0" borderId="0" xfId="0" applyNumberFormat="1" applyFont="1" applyAlignment="1">
      <alignment horizontal="center" vertical="center"/>
    </xf>
    <xf numFmtId="0" fontId="7" fillId="0" borderId="0" xfId="0" applyFont="1" applyAlignment="1">
      <alignment horizontal="center" vertical="center"/>
    </xf>
    <xf numFmtId="4" fontId="7" fillId="0" borderId="0" xfId="0" applyNumberFormat="1" applyFont="1" applyAlignment="1">
      <alignment horizontal="center" vertical="center"/>
    </xf>
    <xf numFmtId="4" fontId="12" fillId="0" borderId="0" xfId="0" applyNumberFormat="1" applyFont="1" applyAlignment="1">
      <alignment horizontal="center" vertical="center"/>
    </xf>
    <xf numFmtId="4" fontId="19" fillId="0" borderId="0" xfId="0" applyNumberFormat="1" applyFont="1" applyAlignment="1">
      <alignment horizontal="center" vertical="center"/>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4" fontId="13" fillId="0" borderId="0" xfId="0" applyNumberFormat="1" applyFont="1" applyAlignment="1">
      <alignment horizontal="right" vertical="center"/>
    </xf>
    <xf numFmtId="4" fontId="13" fillId="0" borderId="0" xfId="0" applyNumberFormat="1" applyFont="1" applyAlignment="1">
      <alignment vertical="center"/>
    </xf>
    <xf numFmtId="0" fontId="12" fillId="0" borderId="0" xfId="0" applyFont="1" applyAlignment="1">
      <alignment horizontal="center" vertical="center" wrapText="1"/>
    </xf>
    <xf numFmtId="0" fontId="12" fillId="0" borderId="0" xfId="0" applyFont="1" applyAlignment="1">
      <alignment horizontal="left" vertical="center" wrapText="1"/>
    </xf>
    <xf numFmtId="0" fontId="14" fillId="0" borderId="0" xfId="0" applyFont="1" applyAlignment="1">
      <alignment horizontal="left" vertical="center" wrapText="1"/>
    </xf>
    <xf numFmtId="4" fontId="15" fillId="0" borderId="0" xfId="0" applyNumberFormat="1" applyFont="1" applyAlignment="1">
      <alignment horizontal="right" vertical="center"/>
    </xf>
    <xf numFmtId="4" fontId="16" fillId="0" borderId="0" xfId="0" applyNumberFormat="1" applyFont="1" applyAlignment="1">
      <alignment vertical="center"/>
    </xf>
    <xf numFmtId="0" fontId="16" fillId="0" borderId="0" xfId="0" applyFont="1" applyAlignment="1">
      <alignment wrapText="1"/>
    </xf>
    <xf numFmtId="0" fontId="16" fillId="0" borderId="0" xfId="0" applyFont="1" applyAlignment="1">
      <alignment horizontal="center" vertical="center"/>
    </xf>
    <xf numFmtId="0" fontId="16" fillId="0" borderId="0" xfId="0" applyFont="1" applyAlignment="1">
      <alignment horizontal="center" vertical="center" wrapText="1"/>
    </xf>
    <xf numFmtId="4" fontId="17" fillId="0" borderId="0" xfId="0" applyNumberFormat="1" applyFont="1" applyAlignment="1">
      <alignment vertical="center"/>
    </xf>
    <xf numFmtId="0" fontId="13" fillId="0" borderId="0" xfId="0" applyFont="1" applyAlignment="1">
      <alignment horizontal="center" vertical="center"/>
    </xf>
    <xf numFmtId="4" fontId="14" fillId="0" borderId="0" xfId="0" applyNumberFormat="1" applyFont="1" applyAlignment="1">
      <alignment vertical="center"/>
    </xf>
    <xf numFmtId="43" fontId="13" fillId="0" borderId="0" xfId="1" applyFont="1" applyFill="1" applyBorder="1" applyAlignment="1">
      <alignment horizontal="left" vertical="center" wrapText="1"/>
    </xf>
    <xf numFmtId="43" fontId="13" fillId="0" borderId="0" xfId="1" applyFont="1" applyFill="1" applyBorder="1" applyAlignment="1">
      <alignment horizontal="center" vertical="center" wrapText="1"/>
    </xf>
    <xf numFmtId="43" fontId="12" fillId="0" borderId="0" xfId="1" applyFont="1" applyFill="1" applyBorder="1" applyAlignment="1">
      <alignment horizontal="right" vertical="center" wrapText="1"/>
    </xf>
    <xf numFmtId="4" fontId="15" fillId="0" borderId="0" xfId="0" applyNumberFormat="1" applyFont="1" applyAlignment="1">
      <alignment vertical="center"/>
    </xf>
    <xf numFmtId="43" fontId="12" fillId="0" borderId="0" xfId="1" applyFont="1" applyFill="1"/>
    <xf numFmtId="43" fontId="12" fillId="0" borderId="0" xfId="1" applyFont="1" applyFill="1" applyAlignment="1">
      <alignment horizontal="right"/>
    </xf>
    <xf numFmtId="0" fontId="13"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20" fillId="0" borderId="0" xfId="0" applyFont="1" applyAlignment="1">
      <alignment horizontal="left" vertical="center" wrapText="1"/>
    </xf>
    <xf numFmtId="43" fontId="15" fillId="0" borderId="0" xfId="1" applyFont="1" applyFill="1" applyBorder="1" applyAlignment="1">
      <alignment horizontal="right" vertical="center"/>
    </xf>
    <xf numFmtId="0" fontId="12" fillId="0" borderId="0" xfId="0" applyFont="1" applyAlignment="1">
      <alignment wrapText="1"/>
    </xf>
    <xf numFmtId="43" fontId="15" fillId="0" borderId="0" xfId="1" applyFont="1" applyFill="1" applyAlignment="1">
      <alignment horizontal="right" vertical="center"/>
    </xf>
    <xf numFmtId="4" fontId="14" fillId="0" borderId="0" xfId="0" applyNumberFormat="1" applyFont="1" applyAlignment="1">
      <alignment horizontal="right" vertical="center"/>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horizontal="center" vertical="center"/>
    </xf>
    <xf numFmtId="4" fontId="24" fillId="0" borderId="0" xfId="0" applyNumberFormat="1" applyFont="1" applyAlignment="1">
      <alignment horizontal="right" vertical="center"/>
    </xf>
    <xf numFmtId="43" fontId="24" fillId="0" borderId="0" xfId="1" applyFont="1" applyFill="1" applyAlignment="1">
      <alignment horizontal="right" vertical="center"/>
    </xf>
    <xf numFmtId="44" fontId="10" fillId="0" borderId="6" xfId="0" applyNumberFormat="1" applyFont="1" applyBorder="1" applyAlignment="1">
      <alignment horizontal="center" vertical="center"/>
    </xf>
    <xf numFmtId="44" fontId="10" fillId="0" borderId="6" xfId="0" applyNumberFormat="1" applyFont="1" applyBorder="1" applyAlignment="1">
      <alignment horizontal="center" vertical="center" wrapText="1"/>
    </xf>
    <xf numFmtId="0" fontId="15" fillId="0" borderId="0" xfId="0" applyFont="1" applyAlignment="1">
      <alignment horizontal="left" vertical="center" wrapText="1"/>
    </xf>
    <xf numFmtId="43" fontId="15" fillId="0" borderId="0" xfId="1" applyFont="1" applyFill="1" applyAlignment="1">
      <alignment vertical="center" wrapText="1"/>
    </xf>
    <xf numFmtId="4" fontId="15" fillId="0" borderId="9" xfId="0" applyNumberFormat="1" applyFont="1" applyBorder="1" applyAlignment="1">
      <alignment vertical="center"/>
    </xf>
    <xf numFmtId="4" fontId="15" fillId="0" borderId="10" xfId="0" applyNumberFormat="1" applyFont="1" applyBorder="1" applyAlignment="1">
      <alignment vertical="center"/>
    </xf>
    <xf numFmtId="0" fontId="12" fillId="0" borderId="0" xfId="0" applyFont="1"/>
    <xf numFmtId="0" fontId="19" fillId="0" borderId="0" xfId="0" applyFont="1" applyAlignment="1">
      <alignment horizontal="center" vertical="center" wrapText="1"/>
    </xf>
    <xf numFmtId="0" fontId="19" fillId="0" borderId="0" xfId="0" applyFont="1" applyAlignment="1">
      <alignment horizontal="center" vertical="center"/>
    </xf>
    <xf numFmtId="0" fontId="13" fillId="0" borderId="6" xfId="0" applyFont="1" applyBorder="1" applyAlignment="1">
      <alignment horizontal="center" vertical="center" wrapText="1"/>
    </xf>
    <xf numFmtId="4" fontId="27" fillId="0" borderId="6" xfId="0" applyNumberFormat="1" applyFont="1" applyBorder="1" applyAlignment="1">
      <alignment horizontal="left"/>
    </xf>
    <xf numFmtId="0" fontId="25" fillId="0" borderId="6" xfId="0" applyFont="1" applyBorder="1" applyAlignment="1">
      <alignment horizontal="center" vertical="center" wrapText="1"/>
    </xf>
    <xf numFmtId="0" fontId="26" fillId="0" borderId="6" xfId="0" applyFont="1" applyBorder="1" applyAlignment="1">
      <alignment horizontal="center" vertical="center" wrapText="1"/>
    </xf>
    <xf numFmtId="4" fontId="10" fillId="0" borderId="6" xfId="0" applyNumberFormat="1" applyFont="1" applyBorder="1" applyAlignment="1">
      <alignment horizontal="left" vertical="center"/>
    </xf>
    <xf numFmtId="4" fontId="25" fillId="0" borderId="6" xfId="0" applyNumberFormat="1" applyFont="1" applyBorder="1" applyAlignment="1">
      <alignment horizontal="left" vertical="center"/>
    </xf>
    <xf numFmtId="0" fontId="16" fillId="0" borderId="6" xfId="0" applyFont="1" applyBorder="1" applyAlignment="1">
      <alignment horizontal="center" vertical="center" wrapText="1"/>
    </xf>
    <xf numFmtId="0" fontId="16" fillId="0" borderId="6" xfId="0" applyFont="1" applyBorder="1"/>
    <xf numFmtId="4" fontId="16" fillId="0" borderId="6" xfId="0" applyNumberFormat="1" applyFont="1" applyBorder="1"/>
    <xf numFmtId="0" fontId="8" fillId="0" borderId="0" xfId="0" applyFont="1" applyAlignment="1">
      <alignment horizontal="center" vertical="center"/>
    </xf>
    <xf numFmtId="0" fontId="0" fillId="0" borderId="0" xfId="0" applyAlignment="1">
      <alignment horizontal="center"/>
    </xf>
    <xf numFmtId="0" fontId="6"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4" fontId="18" fillId="0" borderId="0" xfId="0" applyNumberFormat="1" applyFont="1" applyAlignment="1">
      <alignment horizontal="right" vertical="center"/>
    </xf>
    <xf numFmtId="0" fontId="3" fillId="0" borderId="6"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0" xfId="0" applyFont="1" applyAlignment="1">
      <alignment horizontal="left" vertical="center"/>
    </xf>
    <xf numFmtId="0" fontId="31" fillId="0" borderId="0" xfId="0" applyFont="1" applyAlignment="1">
      <alignment horizontal="center" vertical="center"/>
    </xf>
    <xf numFmtId="43" fontId="31" fillId="0" borderId="0" xfId="1" applyFont="1" applyFill="1" applyBorder="1" applyAlignment="1">
      <alignment horizontal="right" vertical="center" wrapText="1"/>
    </xf>
    <xf numFmtId="49" fontId="31" fillId="0" borderId="0" xfId="1" applyNumberFormat="1" applyFont="1" applyFill="1" applyBorder="1" applyAlignment="1">
      <alignment horizontal="right" vertical="center" wrapText="1"/>
    </xf>
    <xf numFmtId="4" fontId="31" fillId="0" borderId="0" xfId="0" applyNumberFormat="1" applyFont="1" applyAlignment="1">
      <alignment horizontal="right" vertical="center"/>
    </xf>
    <xf numFmtId="43" fontId="32" fillId="0" borderId="15" xfId="1" applyFont="1" applyFill="1" applyBorder="1" applyAlignment="1">
      <alignment horizontal="right" vertical="center" wrapText="1"/>
    </xf>
    <xf numFmtId="0" fontId="31" fillId="0" borderId="0" xfId="0" applyFont="1" applyAlignment="1">
      <alignment horizontal="left" vertical="center" wrapText="1"/>
    </xf>
    <xf numFmtId="4" fontId="31" fillId="0" borderId="9" xfId="0" applyNumberFormat="1" applyFont="1" applyBorder="1" applyAlignment="1">
      <alignment horizontal="right" vertical="center"/>
    </xf>
    <xf numFmtId="4" fontId="31" fillId="0" borderId="16" xfId="0" applyNumberFormat="1" applyFont="1" applyBorder="1" applyAlignment="1">
      <alignment horizontal="right" vertical="center"/>
    </xf>
    <xf numFmtId="43" fontId="32" fillId="0" borderId="17" xfId="1" applyFont="1" applyFill="1" applyBorder="1" applyAlignment="1">
      <alignment horizontal="center" vertical="center" wrapText="1"/>
    </xf>
    <xf numFmtId="0" fontId="31" fillId="0" borderId="9" xfId="0" applyFont="1" applyBorder="1" applyAlignment="1">
      <alignment horizontal="center" vertical="center" wrapText="1"/>
    </xf>
    <xf numFmtId="43" fontId="32" fillId="0" borderId="9" xfId="1" applyFont="1" applyFill="1" applyBorder="1" applyAlignment="1">
      <alignment horizontal="right" vertical="center" wrapText="1"/>
    </xf>
    <xf numFmtId="43" fontId="32" fillId="0" borderId="16" xfId="1" applyFont="1" applyFill="1" applyBorder="1" applyAlignment="1">
      <alignment horizontal="right" vertical="center" wrapText="1"/>
    </xf>
    <xf numFmtId="0" fontId="30" fillId="0" borderId="21" xfId="0" applyFont="1" applyBorder="1" applyAlignment="1">
      <alignment horizontal="center" vertical="center"/>
    </xf>
    <xf numFmtId="43" fontId="31" fillId="0" borderId="9" xfId="1" applyFont="1" applyFill="1" applyBorder="1" applyAlignment="1">
      <alignment horizontal="right" vertical="center" wrapText="1"/>
    </xf>
    <xf numFmtId="43" fontId="32" fillId="0" borderId="0" xfId="1" applyFont="1" applyFill="1" applyAlignment="1">
      <alignment horizontal="center" vertical="center" wrapText="1"/>
    </xf>
    <xf numFmtId="0" fontId="31" fillId="0" borderId="0" xfId="0" applyFont="1" applyAlignment="1">
      <alignment horizontal="center" vertical="center" wrapText="1"/>
    </xf>
    <xf numFmtId="43" fontId="32" fillId="0" borderId="0" xfId="1" applyFont="1" applyFill="1" applyAlignment="1">
      <alignment horizontal="right" vertical="center" wrapText="1"/>
    </xf>
    <xf numFmtId="43" fontId="32" fillId="0" borderId="0" xfId="1" applyFont="1" applyFill="1" applyBorder="1" applyAlignment="1">
      <alignment horizontal="right" vertical="center" wrapText="1"/>
    </xf>
    <xf numFmtId="0" fontId="33" fillId="0" borderId="21" xfId="0" applyFont="1" applyBorder="1" applyAlignment="1">
      <alignment horizontal="center" vertical="center"/>
    </xf>
    <xf numFmtId="4" fontId="32" fillId="0" borderId="9" xfId="0" applyNumberFormat="1" applyFont="1" applyBorder="1" applyAlignment="1">
      <alignment horizontal="right" vertical="center"/>
    </xf>
    <xf numFmtId="4" fontId="31" fillId="0" borderId="3" xfId="0" applyNumberFormat="1" applyFont="1" applyBorder="1" applyAlignment="1">
      <alignment horizontal="right" vertical="center"/>
    </xf>
    <xf numFmtId="4" fontId="32" fillId="0" borderId="3" xfId="0" applyNumberFormat="1" applyFont="1" applyBorder="1" applyAlignment="1">
      <alignment horizontal="right" vertical="center"/>
    </xf>
    <xf numFmtId="43" fontId="0" fillId="0" borderId="25" xfId="1" applyFont="1" applyFill="1" applyBorder="1"/>
    <xf numFmtId="0" fontId="33" fillId="0" borderId="26" xfId="0" applyFont="1" applyBorder="1" applyAlignment="1">
      <alignment horizontal="center" vertical="center"/>
    </xf>
    <xf numFmtId="0" fontId="33" fillId="0" borderId="27" xfId="0" applyFont="1" applyBorder="1" applyAlignment="1">
      <alignment horizontal="center" vertical="center"/>
    </xf>
    <xf numFmtId="0" fontId="33" fillId="0" borderId="24" xfId="0" applyFont="1" applyBorder="1" applyAlignment="1">
      <alignment horizontal="center" vertical="center"/>
    </xf>
    <xf numFmtId="0" fontId="35" fillId="0" borderId="0" xfId="0" applyFont="1" applyAlignment="1">
      <alignment horizontal="center" vertical="center"/>
    </xf>
    <xf numFmtId="0" fontId="35" fillId="0" borderId="0" xfId="0" applyFont="1" applyAlignment="1">
      <alignment horizontal="left" vertical="center" wrapText="1"/>
    </xf>
    <xf numFmtId="0" fontId="35" fillId="0" borderId="0" xfId="0" applyFont="1" applyAlignment="1">
      <alignment horizontal="center" vertical="center" wrapText="1"/>
    </xf>
    <xf numFmtId="4" fontId="31" fillId="0" borderId="25" xfId="0" applyNumberFormat="1" applyFont="1" applyBorder="1" applyAlignment="1">
      <alignment horizontal="right" vertical="center"/>
    </xf>
    <xf numFmtId="43" fontId="32" fillId="0" borderId="0" xfId="1" applyFont="1" applyFill="1" applyAlignment="1">
      <alignment horizontal="left" vertical="center"/>
    </xf>
    <xf numFmtId="43" fontId="32" fillId="0" borderId="0" xfId="1" applyFont="1" applyFill="1" applyAlignment="1">
      <alignment horizontal="center" vertical="center"/>
    </xf>
    <xf numFmtId="4" fontId="35" fillId="0" borderId="9" xfId="0" applyNumberFormat="1" applyFont="1" applyBorder="1" applyAlignment="1">
      <alignment horizontal="right" vertical="center"/>
    </xf>
    <xf numFmtId="4" fontId="35" fillId="0" borderId="25" xfId="0" applyNumberFormat="1" applyFont="1" applyBorder="1" applyAlignment="1">
      <alignment horizontal="right" vertical="center"/>
    </xf>
    <xf numFmtId="49" fontId="32" fillId="0" borderId="0" xfId="1" applyNumberFormat="1" applyFont="1" applyFill="1" applyAlignment="1">
      <alignment horizontal="right" vertical="center" wrapText="1"/>
    </xf>
    <xf numFmtId="4" fontId="36" fillId="0" borderId="0" xfId="0" applyNumberFormat="1" applyFont="1" applyAlignment="1">
      <alignment horizontal="right" vertical="center"/>
    </xf>
    <xf numFmtId="14" fontId="35" fillId="0" borderId="0" xfId="0" applyNumberFormat="1" applyFont="1" applyAlignment="1">
      <alignment horizontal="center"/>
    </xf>
    <xf numFmtId="4" fontId="32" fillId="0" borderId="0" xfId="0" applyNumberFormat="1" applyFont="1" applyAlignment="1">
      <alignment horizontal="right" vertical="center"/>
    </xf>
    <xf numFmtId="0" fontId="37" fillId="0" borderId="21" xfId="0" applyFont="1" applyBorder="1" applyAlignment="1">
      <alignment horizontal="center" vertical="center"/>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4" fontId="35" fillId="0" borderId="0" xfId="0" applyNumberFormat="1" applyFont="1" applyAlignment="1">
      <alignment horizontal="right" vertical="center"/>
    </xf>
    <xf numFmtId="43" fontId="32" fillId="0" borderId="19" xfId="1" applyFont="1" applyFill="1" applyBorder="1" applyAlignment="1">
      <alignment horizontal="right" vertical="center" wrapText="1"/>
    </xf>
    <xf numFmtId="0" fontId="35" fillId="0" borderId="0" xfId="0" applyFont="1" applyAlignment="1">
      <alignment horizontal="left" vertical="center"/>
    </xf>
    <xf numFmtId="43" fontId="35" fillId="0" borderId="0" xfId="1" applyFont="1" applyFill="1" applyBorder="1" applyAlignment="1">
      <alignment horizontal="right" vertical="center" wrapText="1"/>
    </xf>
    <xf numFmtId="43" fontId="35" fillId="0" borderId="0" xfId="1" applyFont="1" applyFill="1" applyBorder="1" applyAlignment="1">
      <alignment horizontal="right" vertical="center"/>
    </xf>
    <xf numFmtId="0" fontId="33" fillId="0" borderId="22" xfId="0" applyFont="1" applyBorder="1" applyAlignment="1">
      <alignment horizontal="center" vertical="center"/>
    </xf>
    <xf numFmtId="0" fontId="33" fillId="0" borderId="6" xfId="0" applyFont="1" applyBorder="1" applyAlignment="1">
      <alignment horizontal="center" vertical="center"/>
    </xf>
    <xf numFmtId="0" fontId="39" fillId="0" borderId="0" xfId="0" applyFont="1"/>
    <xf numFmtId="0" fontId="39" fillId="0" borderId="0" xfId="0" applyFont="1" applyAlignment="1">
      <alignment horizontal="center"/>
    </xf>
    <xf numFmtId="0" fontId="36" fillId="0" borderId="0" xfId="0" applyFont="1" applyAlignment="1">
      <alignment horizontal="center" vertical="center" wrapText="1"/>
    </xf>
    <xf numFmtId="4" fontId="36" fillId="0" borderId="10" xfId="0" applyNumberFormat="1" applyFont="1" applyBorder="1" applyAlignment="1">
      <alignment horizontal="right" vertical="center"/>
    </xf>
    <xf numFmtId="4" fontId="36" fillId="0" borderId="29" xfId="0" applyNumberFormat="1" applyFont="1" applyBorder="1" applyAlignment="1">
      <alignment horizontal="right" vertical="center"/>
    </xf>
    <xf numFmtId="0" fontId="28" fillId="0" borderId="0" xfId="0" applyFont="1"/>
    <xf numFmtId="4" fontId="36" fillId="0" borderId="0" xfId="0" applyNumberFormat="1" applyFont="1" applyAlignment="1">
      <alignment horizontal="center" vertical="center"/>
    </xf>
    <xf numFmtId="43" fontId="36" fillId="0" borderId="0" xfId="0" applyNumberFormat="1" applyFont="1" applyAlignment="1">
      <alignment horizontal="center" vertical="center"/>
    </xf>
    <xf numFmtId="0" fontId="7" fillId="0" borderId="0" xfId="0" applyFont="1" applyAlignment="1">
      <alignment horizontal="center" vertical="center" wrapText="1"/>
    </xf>
    <xf numFmtId="43" fontId="7" fillId="0" borderId="0" xfId="0" applyNumberFormat="1" applyFont="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1" xfId="0" applyFont="1" applyBorder="1" applyAlignment="1">
      <alignment horizontal="center" vertical="center"/>
    </xf>
    <xf numFmtId="0" fontId="41" fillId="0" borderId="14" xfId="0" applyFont="1" applyBorder="1" applyAlignment="1">
      <alignment horizontal="center" vertical="center" wrapText="1"/>
    </xf>
    <xf numFmtId="0" fontId="41" fillId="0" borderId="0" xfId="0" applyFont="1" applyAlignment="1">
      <alignment horizontal="left" vertical="center" wrapText="1"/>
    </xf>
    <xf numFmtId="0" fontId="41" fillId="0" borderId="0" xfId="0" applyFont="1" applyAlignment="1">
      <alignment horizontal="center" vertical="center" wrapText="1"/>
    </xf>
    <xf numFmtId="43" fontId="41" fillId="0" borderId="0" xfId="1" applyFont="1" applyFill="1" applyBorder="1" applyAlignment="1">
      <alignment horizontal="right" vertical="center" wrapText="1"/>
    </xf>
    <xf numFmtId="2" fontId="41" fillId="0" borderId="0" xfId="1" applyNumberFormat="1" applyFont="1" applyFill="1" applyBorder="1" applyAlignment="1">
      <alignment horizontal="right" vertical="center" wrapText="1"/>
    </xf>
    <xf numFmtId="43" fontId="41" fillId="0" borderId="15" xfId="1" applyFont="1" applyFill="1" applyBorder="1" applyAlignment="1">
      <alignment horizontal="right" vertical="center" wrapText="1"/>
    </xf>
    <xf numFmtId="0" fontId="42" fillId="0" borderId="0" xfId="0" applyFont="1"/>
    <xf numFmtId="0" fontId="43" fillId="0" borderId="14" xfId="0" applyFont="1" applyBorder="1" applyAlignment="1">
      <alignment horizontal="center" vertical="center" wrapText="1"/>
    </xf>
    <xf numFmtId="43" fontId="41" fillId="0" borderId="33" xfId="1" applyFont="1" applyFill="1" applyBorder="1" applyAlignment="1">
      <alignment horizontal="right" vertical="center" wrapText="1"/>
    </xf>
    <xf numFmtId="2" fontId="41" fillId="0" borderId="33" xfId="1" applyNumberFormat="1" applyFont="1" applyFill="1" applyBorder="1" applyAlignment="1">
      <alignment horizontal="right" vertical="center" wrapText="1"/>
    </xf>
    <xf numFmtId="49" fontId="41" fillId="0" borderId="33" xfId="1" applyNumberFormat="1" applyFont="1" applyFill="1" applyBorder="1" applyAlignment="1">
      <alignment horizontal="right" vertical="center" wrapText="1"/>
    </xf>
    <xf numFmtId="43" fontId="41" fillId="0" borderId="33" xfId="1" applyFont="1" applyFill="1" applyBorder="1" applyAlignment="1">
      <alignment vertical="center" wrapText="1"/>
    </xf>
    <xf numFmtId="43" fontId="43" fillId="0" borderId="34" xfId="1" applyFont="1" applyFill="1" applyBorder="1" applyAlignment="1">
      <alignment horizontal="right" vertical="center" wrapText="1"/>
    </xf>
    <xf numFmtId="0" fontId="43" fillId="0" borderId="17" xfId="0" applyFont="1" applyBorder="1" applyAlignment="1">
      <alignment horizontal="center" vertical="center" wrapText="1"/>
    </xf>
    <xf numFmtId="0" fontId="41" fillId="0" borderId="9" xfId="0" applyFont="1" applyBorder="1" applyAlignment="1">
      <alignment wrapText="1"/>
    </xf>
    <xf numFmtId="0" fontId="41" fillId="0" borderId="9" xfId="0" applyFont="1" applyBorder="1" applyAlignment="1">
      <alignment horizontal="center" vertical="center" wrapText="1"/>
    </xf>
    <xf numFmtId="43" fontId="43" fillId="0" borderId="33" xfId="1" applyFont="1" applyFill="1" applyBorder="1" applyAlignment="1">
      <alignment horizontal="right" vertical="center" wrapText="1"/>
    </xf>
    <xf numFmtId="2" fontId="43" fillId="0" borderId="33" xfId="1" applyNumberFormat="1" applyFont="1" applyFill="1" applyBorder="1" applyAlignment="1">
      <alignment horizontal="right" vertical="center" wrapText="1"/>
    </xf>
    <xf numFmtId="0" fontId="0" fillId="0" borderId="0" xfId="0" applyAlignment="1">
      <alignment horizontal="center" vertical="center"/>
    </xf>
    <xf numFmtId="0" fontId="43" fillId="0" borderId="0" xfId="0" applyFont="1" applyAlignment="1">
      <alignment horizontal="center" vertical="center" wrapText="1"/>
    </xf>
    <xf numFmtId="0" fontId="41" fillId="0" borderId="0" xfId="0" applyFont="1" applyAlignment="1">
      <alignment wrapText="1"/>
    </xf>
    <xf numFmtId="43" fontId="43" fillId="0" borderId="0" xfId="1" applyFont="1" applyFill="1" applyBorder="1" applyAlignment="1">
      <alignment horizontal="right" vertical="center" wrapText="1"/>
    </xf>
    <xf numFmtId="2" fontId="43" fillId="0" borderId="0" xfId="1" applyNumberFormat="1" applyFont="1" applyFill="1" applyBorder="1" applyAlignment="1">
      <alignment horizontal="right" vertical="center" wrapText="1"/>
    </xf>
    <xf numFmtId="43" fontId="43" fillId="0" borderId="0" xfId="1" applyFont="1" applyFill="1" applyBorder="1" applyAlignment="1">
      <alignment vertical="center" wrapText="1"/>
    </xf>
    <xf numFmtId="0" fontId="11" fillId="2" borderId="0" xfId="0" applyFont="1" applyFill="1" applyAlignment="1">
      <alignment horizontal="center" vertical="center"/>
    </xf>
    <xf numFmtId="4" fontId="12" fillId="0" borderId="0" xfId="0" applyNumberFormat="1" applyFont="1" applyAlignment="1">
      <alignment horizontal="center" vertical="center"/>
    </xf>
    <xf numFmtId="4" fontId="19" fillId="0" borderId="0" xfId="0" applyNumberFormat="1" applyFont="1" applyAlignment="1">
      <alignment horizontal="center" vertical="center"/>
    </xf>
    <xf numFmtId="44" fontId="11" fillId="2" borderId="0" xfId="0" applyNumberFormat="1" applyFont="1" applyFill="1" applyAlignment="1">
      <alignment horizontal="center" vertical="center"/>
    </xf>
    <xf numFmtId="0" fontId="11" fillId="2" borderId="8" xfId="0" applyFont="1" applyFill="1" applyBorder="1" applyAlignment="1">
      <alignment horizontal="center" vertical="center"/>
    </xf>
    <xf numFmtId="0" fontId="9"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6" fillId="0" borderId="0" xfId="0" applyFont="1" applyAlignment="1">
      <alignment horizontal="center" vertical="center"/>
    </xf>
    <xf numFmtId="4" fontId="6" fillId="0" borderId="0" xfId="0" applyNumberFormat="1" applyFont="1" applyAlignment="1">
      <alignment horizontal="center" vertical="center"/>
    </xf>
    <xf numFmtId="0" fontId="7" fillId="0" borderId="0" xfId="0" applyFont="1" applyAlignment="1">
      <alignment horizontal="center" vertical="center"/>
    </xf>
    <xf numFmtId="4" fontId="7" fillId="0" borderId="0" xfId="0" applyNumberFormat="1" applyFont="1" applyAlignment="1">
      <alignment horizontal="center" vertical="center"/>
    </xf>
    <xf numFmtId="0" fontId="38" fillId="0" borderId="22" xfId="0" applyFont="1" applyBorder="1" applyAlignment="1">
      <alignment horizontal="center"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0" fontId="29" fillId="0" borderId="0" xfId="0" applyFont="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34" fillId="0" borderId="22" xfId="0" applyFont="1" applyBorder="1" applyAlignment="1">
      <alignment horizontal="center" vertical="center"/>
    </xf>
    <xf numFmtId="0" fontId="34" fillId="0" borderId="23" xfId="0" applyFont="1" applyBorder="1" applyAlignment="1">
      <alignment horizontal="center" vertical="center"/>
    </xf>
    <xf numFmtId="0" fontId="34" fillId="0" borderId="24" xfId="0" applyFont="1" applyBorder="1" applyAlignment="1">
      <alignment horizontal="center" vertical="center"/>
    </xf>
    <xf numFmtId="0" fontId="34" fillId="0" borderId="1"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8" fillId="0" borderId="3" xfId="0" applyFont="1" applyBorder="1" applyAlignment="1">
      <alignment horizontal="center" vertical="center"/>
    </xf>
    <xf numFmtId="0" fontId="38" fillId="0" borderId="4"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9" xfId="0" applyFont="1" applyBorder="1" applyAlignment="1">
      <alignment horizontal="center" vertical="center" wrapText="1"/>
    </xf>
    <xf numFmtId="0" fontId="40" fillId="2" borderId="31" xfId="0" applyFont="1" applyFill="1" applyBorder="1" applyAlignment="1">
      <alignment horizontal="center" vertical="center"/>
    </xf>
    <xf numFmtId="0" fontId="40" fillId="2" borderId="23" xfId="0" applyFont="1" applyFill="1" applyBorder="1" applyAlignment="1">
      <alignment horizontal="center" vertical="center"/>
    </xf>
    <xf numFmtId="0" fontId="40" fillId="2" borderId="19" xfId="0" applyFont="1" applyFill="1" applyBorder="1" applyAlignment="1">
      <alignment horizontal="center" vertical="center"/>
    </xf>
    <xf numFmtId="0" fontId="40" fillId="2" borderId="32" xfId="0" applyFont="1" applyFill="1" applyBorder="1" applyAlignment="1">
      <alignment horizontal="center" vertical="center"/>
    </xf>
    <xf numFmtId="0" fontId="40" fillId="2" borderId="35" xfId="0" applyFont="1" applyFill="1" applyBorder="1" applyAlignment="1">
      <alignment horizontal="center" vertical="center"/>
    </xf>
    <xf numFmtId="0" fontId="40" fillId="2" borderId="3" xfId="0" applyFont="1" applyFill="1" applyBorder="1" applyAlignment="1">
      <alignment horizontal="center" vertical="center"/>
    </xf>
    <xf numFmtId="0" fontId="40" fillId="2" borderId="0" xfId="0" applyFont="1" applyFill="1" applyAlignment="1">
      <alignment horizontal="center" vertical="center"/>
    </xf>
    <xf numFmtId="0" fontId="40" fillId="2" borderId="15" xfId="0" applyFont="1" applyFill="1" applyBorder="1" applyAlignment="1">
      <alignment horizontal="center" vertical="center"/>
    </xf>
    <xf numFmtId="0" fontId="44" fillId="0" borderId="0" xfId="0" applyFont="1" applyAlignment="1">
      <alignment horizontal="center" vertical="center" wrapText="1"/>
    </xf>
    <xf numFmtId="43" fontId="43" fillId="0" borderId="15" xfId="1" applyFont="1" applyFill="1" applyBorder="1" applyAlignment="1">
      <alignment horizontal="right" vertical="center" wrapText="1"/>
    </xf>
    <xf numFmtId="43" fontId="43" fillId="0" borderId="9" xfId="1" applyFont="1" applyFill="1" applyBorder="1" applyAlignment="1">
      <alignment horizontal="right" vertical="center" wrapText="1"/>
    </xf>
    <xf numFmtId="4" fontId="5" fillId="0" borderId="0" xfId="0" applyNumberFormat="1" applyFont="1" applyAlignment="1">
      <alignment horizontal="right" vertical="center"/>
    </xf>
    <xf numFmtId="43" fontId="43" fillId="0" borderId="16" xfId="1" applyFont="1" applyFill="1" applyBorder="1" applyAlignment="1">
      <alignment horizontal="right" vertical="center" wrapText="1"/>
    </xf>
    <xf numFmtId="49" fontId="8" fillId="0" borderId="0" xfId="0" applyNumberFormat="1" applyFont="1" applyAlignment="1">
      <alignment horizontal="center" vertical="center"/>
    </xf>
    <xf numFmtId="49" fontId="6" fillId="0" borderId="0" xfId="0" applyNumberFormat="1" applyFont="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2033681</xdr:colOff>
      <xdr:row>266</xdr:row>
      <xdr:rowOff>1</xdr:rowOff>
    </xdr:from>
    <xdr:to>
      <xdr:col>6</xdr:col>
      <xdr:colOff>369868</xdr:colOff>
      <xdr:row>266</xdr:row>
      <xdr:rowOff>186</xdr:rowOff>
    </xdr:to>
    <xdr:cxnSp macro="">
      <xdr:nvCxnSpPr>
        <xdr:cNvPr id="5" name="Conector recto 4">
          <a:extLst>
            <a:ext uri="{FF2B5EF4-FFF2-40B4-BE49-F238E27FC236}">
              <a16:creationId xmlns:a16="http://schemas.microsoft.com/office/drawing/2014/main" id="{4589ECE8-B850-4C0D-8D8F-18F90059B228}"/>
            </a:ext>
          </a:extLst>
        </xdr:cNvPr>
        <xdr:cNvCxnSpPr/>
      </xdr:nvCxnSpPr>
      <xdr:spPr>
        <a:xfrm flipV="1">
          <a:off x="9980252" y="26234572"/>
          <a:ext cx="3207545"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266</xdr:row>
      <xdr:rowOff>0</xdr:rowOff>
    </xdr:from>
    <xdr:to>
      <xdr:col>1</xdr:col>
      <xdr:colOff>1428750</xdr:colOff>
      <xdr:row>266</xdr:row>
      <xdr:rowOff>0</xdr:rowOff>
    </xdr:to>
    <xdr:cxnSp macro="">
      <xdr:nvCxnSpPr>
        <xdr:cNvPr id="6" name="Conector recto 5">
          <a:extLst>
            <a:ext uri="{FF2B5EF4-FFF2-40B4-BE49-F238E27FC236}">
              <a16:creationId xmlns:a16="http://schemas.microsoft.com/office/drawing/2014/main" id="{FC1948F6-4615-47B6-8895-8639DA9FABA9}"/>
            </a:ext>
          </a:extLst>
        </xdr:cNvPr>
        <xdr:cNvCxnSpPr/>
      </xdr:nvCxnSpPr>
      <xdr:spPr>
        <a:xfrm>
          <a:off x="0" y="27132643"/>
          <a:ext cx="284389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14</xdr:col>
      <xdr:colOff>0</xdr:colOff>
      <xdr:row>86</xdr:row>
      <xdr:rowOff>0</xdr:rowOff>
    </xdr:from>
    <xdr:to>
      <xdr:col>14</xdr:col>
      <xdr:colOff>304800</xdr:colOff>
      <xdr:row>86</xdr:row>
      <xdr:rowOff>304800</xdr:rowOff>
    </xdr:to>
    <xdr:sp macro="" textlink="">
      <xdr:nvSpPr>
        <xdr:cNvPr id="1025" name="AutoShape 1">
          <a:extLst>
            <a:ext uri="{FF2B5EF4-FFF2-40B4-BE49-F238E27FC236}">
              <a16:creationId xmlns:a16="http://schemas.microsoft.com/office/drawing/2014/main" id="{DD9216E4-45D5-7EED-1252-9432846AF6E6}"/>
            </a:ext>
          </a:extLst>
        </xdr:cNvPr>
        <xdr:cNvSpPr>
          <a:spLocks noChangeAspect="1" noChangeArrowheads="1"/>
        </xdr:cNvSpPr>
      </xdr:nvSpPr>
      <xdr:spPr bwMode="auto">
        <a:xfrm>
          <a:off x="22583775" y="148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163287</xdr:colOff>
      <xdr:row>0</xdr:row>
      <xdr:rowOff>13607</xdr:rowOff>
    </xdr:from>
    <xdr:to>
      <xdr:col>1</xdr:col>
      <xdr:colOff>534427</xdr:colOff>
      <xdr:row>4</xdr:row>
      <xdr:rowOff>190500</xdr:rowOff>
    </xdr:to>
    <xdr:pic>
      <xdr:nvPicPr>
        <xdr:cNvPr id="3" name="Imagen 2">
          <a:extLst>
            <a:ext uri="{FF2B5EF4-FFF2-40B4-BE49-F238E27FC236}">
              <a16:creationId xmlns:a16="http://schemas.microsoft.com/office/drawing/2014/main" id="{E839691B-77E9-33DF-6344-AAC4479A33EF}"/>
            </a:ext>
          </a:extLst>
        </xdr:cNvPr>
        <xdr:cNvPicPr>
          <a:picLocks noChangeAspect="1"/>
        </xdr:cNvPicPr>
      </xdr:nvPicPr>
      <xdr:blipFill>
        <a:blip xmlns:r="http://schemas.openxmlformats.org/officeDocument/2006/relationships" r:embed="rId1"/>
        <a:stretch>
          <a:fillRect/>
        </a:stretch>
      </xdr:blipFill>
      <xdr:spPr>
        <a:xfrm>
          <a:off x="163287" y="13607"/>
          <a:ext cx="1786283" cy="1156607"/>
        </a:xfrm>
        <a:prstGeom prst="rect">
          <a:avLst/>
        </a:prstGeom>
      </xdr:spPr>
    </xdr:pic>
    <xdr:clientData/>
  </xdr:twoCellAnchor>
  <xdr:twoCellAnchor>
    <xdr:from>
      <xdr:col>9</xdr:col>
      <xdr:colOff>1102179</xdr:colOff>
      <xdr:row>266</xdr:row>
      <xdr:rowOff>0</xdr:rowOff>
    </xdr:from>
    <xdr:to>
      <xdr:col>12</xdr:col>
      <xdr:colOff>105117</xdr:colOff>
      <xdr:row>266</xdr:row>
      <xdr:rowOff>185</xdr:rowOff>
    </xdr:to>
    <xdr:cxnSp macro="">
      <xdr:nvCxnSpPr>
        <xdr:cNvPr id="2" name="Conector recto 1">
          <a:extLst>
            <a:ext uri="{FF2B5EF4-FFF2-40B4-BE49-F238E27FC236}">
              <a16:creationId xmlns:a16="http://schemas.microsoft.com/office/drawing/2014/main" id="{35CEBF81-1694-44D8-BA73-27F56529E712}"/>
            </a:ext>
          </a:extLst>
        </xdr:cNvPr>
        <xdr:cNvCxnSpPr/>
      </xdr:nvCxnSpPr>
      <xdr:spPr>
        <a:xfrm flipV="1">
          <a:off x="18247179" y="26234571"/>
          <a:ext cx="3207545"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7</xdr:row>
      <xdr:rowOff>0</xdr:rowOff>
    </xdr:from>
    <xdr:to>
      <xdr:col>0</xdr:col>
      <xdr:colOff>571500</xdr:colOff>
      <xdr:row>8</xdr:row>
      <xdr:rowOff>57150</xdr:rowOff>
    </xdr:to>
    <xdr:sp macro="" textlink="">
      <xdr:nvSpPr>
        <xdr:cNvPr id="4" name="Text Box 358">
          <a:extLst>
            <a:ext uri="{FF2B5EF4-FFF2-40B4-BE49-F238E27FC236}">
              <a16:creationId xmlns:a16="http://schemas.microsoft.com/office/drawing/2014/main" id="{3C2C7E02-DD15-4600-B981-B5FC58270CBF}"/>
            </a:ext>
          </a:extLst>
        </xdr:cNvPr>
        <xdr:cNvSpPr txBox="1">
          <a:spLocks noChangeArrowheads="1"/>
        </xdr:cNvSpPr>
      </xdr:nvSpPr>
      <xdr:spPr bwMode="auto">
        <a:xfrm>
          <a:off x="0" y="2009775"/>
          <a:ext cx="571500" cy="3714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Los Estados de Recaudación e Inversión de las Rentas (ERIR) contienen la información financiera y presupuestaria requerida para la elaboración de los cuadros, pero no están disponibles directamente en el formato de datos brutos que permita la construcción de las tablas comparativas y el cálculo del impacto en el Producto Interno Bruto (PIB) sin consultar el documento completo y sus anexos técnicos. El acceso al ERIR 2024 (cierre aún en proceso) y ERIR 2023 completo es necesario para extraer las cifras exactas del Capítulo V (Ejecución Presupuestaria Consolidada) que detallan los "Recursos Asignados por Disposición del Presidente" y los "Gastos del Fondo de Calamidades y Emergencias Públicas" según las clasificaciones solicitadas.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Sin las cifras precisas del ERIR 2024 y 2023, la respuesta se centrará en: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Explicar la estructura de los cuadros comparativos solicitados, indicando qué datos deben obtenerse del ERIR.</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Realizar el análisis del impacto social basado en la naturaleza de los fondos.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Identificar y citar los instrumentos legales de sustento.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Proponer los indicadores de desempeño social.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Diseñar las siete (7) políticas sociales viables.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Elaborar el informe ejecutivo con conclusiones y recomendaciones teóricas.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1. Estructura de Cuadros Comparativos (ERIR 2024 y 2023)</a:t>
          </a:r>
        </a:p>
        <a:p>
          <a:pPr algn="l" rtl="0">
            <a:defRPr sz="1000"/>
          </a:pPr>
          <a:r>
            <a:rPr lang="es-DO" sz="1100" b="0" i="0" u="none" strike="noStrike" baseline="0">
              <a:solidFill>
                <a:srgbClr val="000000"/>
              </a:solidFill>
              <a:latin typeface="Calibri"/>
              <a:ea typeface="Calibri"/>
              <a:cs typeface="Calibri"/>
            </a:rPr>
            <a:t>Para completar esta sección, se debe obtener el Capítulo V del ERIR de los años 2024 y 2023, el cual contiene las tablas de ejecución presupuestaria del Gobierno Central y del Sector Público No Financiero (SPNF) donde se desglosan los fondos solicitados. La estructura a seguir para cada cuadro es la siguiente (las cifras deben ser extraídas del ERIR):</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Id. Detalle Variación Devengado 2024-2023 Año 2024    Año 2023   </a:t>
          </a:r>
        </a:p>
        <a:p>
          <a:pPr algn="l" rtl="0">
            <a:defRPr sz="1000"/>
          </a:pPr>
          <a:r>
            <a:rPr lang="es-DO" sz="1100" b="0" i="0" u="none" strike="noStrike" baseline="0">
              <a:solidFill>
                <a:srgbClr val="000000"/>
              </a:solidFill>
              <a:latin typeface="Calibri"/>
              <a:ea typeface="Calibri"/>
              <a:cs typeface="Calibri"/>
            </a:rPr>
            <a:t>(RD$) Presupuesto Vigente (RD$) Devengado (RD$) Ejec. % Ejecución % PIB* Presupuesto Vigente (RD$) Devengado (RD$) Ejec. % Ejecución % PIB*</a:t>
          </a:r>
        </a:p>
        <a:p>
          <a:pPr algn="l" rtl="0">
            <a:defRPr sz="1000"/>
          </a:pPr>
          <a:r>
            <a:rPr lang="es-DO" sz="1100" b="0" i="0" u="none" strike="noStrike" baseline="0">
              <a:solidFill>
                <a:srgbClr val="000000"/>
              </a:solidFill>
              <a:latin typeface="Calibri"/>
              <a:ea typeface="Calibri"/>
              <a:cs typeface="Calibri"/>
            </a:rPr>
            <a:t>1 Clasificación económica de los recursos...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2 Clasificación institucional de los recursos...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3 Clasificación funcional de los recursos...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4 Gastos del Fondo de Calamidades... (Inst. Adm. Central)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5 Gastos del Fondo de Calamidades... (Inst. Descentralizadas)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6 Gastos del Fondo de Calamidades... (Funcional Adm. Central) Valor Valor Valor Valor Valor Valor Valor Valor Valor</a:t>
          </a:r>
        </a:p>
        <a:p>
          <a:pPr algn="l" rtl="0">
            <a:defRPr sz="1000"/>
          </a:pPr>
          <a:r>
            <a:rPr lang="es-DO" sz="1100" b="0" i="0" u="none" strike="noStrike" baseline="0">
              <a:solidFill>
                <a:srgbClr val="000000"/>
              </a:solidFill>
              <a:latin typeface="Calibri"/>
              <a:ea typeface="Calibri"/>
              <a:cs typeface="Calibri"/>
            </a:rPr>
            <a:t>7 Gastos del Fondo de Calamidades... (Funcional Descentralizadas) Valor Valor Valor Valor Valor Valor Valor Valor Valor</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Exportar a Hojas de cálculo</a:t>
          </a:r>
        </a:p>
        <a:p>
          <a:pPr algn="l" rtl="0">
            <a:defRPr sz="1000"/>
          </a:pPr>
          <a:r>
            <a:rPr lang="es-DO" sz="1100" b="0" i="0" u="none" strike="noStrike" baseline="0">
              <a:solidFill>
                <a:srgbClr val="000000"/>
              </a:solidFill>
              <a:latin typeface="Calibri"/>
              <a:ea typeface="Calibri"/>
              <a:cs typeface="Calibri"/>
            </a:rPr>
            <a:t>*Nota: El PIB de la República Dominicana para 2024 y 2023 es necesario para completar estas columnas.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2. Análisis del Impacto Social de los Fondos</a:t>
          </a:r>
        </a:p>
        <a:p>
          <a:pPr algn="l" rtl="0">
            <a:defRPr sz="1000"/>
          </a:pPr>
          <a:r>
            <a:rPr lang="es-DO" sz="1100" b="0" i="0" u="none" strike="noStrike" baseline="0">
              <a:solidFill>
                <a:srgbClr val="000000"/>
              </a:solidFill>
              <a:latin typeface="Calibri"/>
              <a:ea typeface="Calibri"/>
              <a:cs typeface="Calibri"/>
            </a:rPr>
            <a:t>El impacto social de la ejecución de estos dos fondos es directo y altamente sensible para la población dominicana, aunque sus naturalezas sean distintas.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 Recursos Asignados por Disposición del Presidente</a:t>
          </a:r>
        </a:p>
        <a:p>
          <a:pPr algn="l" rtl="0">
            <a:defRPr sz="1000"/>
          </a:pPr>
          <a:r>
            <a:rPr lang="es-DO" sz="1100" b="0" i="0" u="none" strike="noStrike" baseline="0">
              <a:solidFill>
                <a:srgbClr val="000000"/>
              </a:solidFill>
              <a:latin typeface="Calibri"/>
              <a:ea typeface="Calibri"/>
              <a:cs typeface="Calibri"/>
            </a:rPr>
            <a:t>Estos recursos, a menudo provenientes de excedentes de ingresos (Ley 423-06, Art. 50), son fondos discrecionales y flexibles.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Positivo: Permiten una respuesta gubernamental ágil e inmediata a necesidades sociales no previstas o urgentes, como la solución de problemas comunitarios (infraestructura menor, ayuda a personas en condición de vulnerabilidad, apoyo a instituciones sin fines de lucro, etc.). Funcionan como un mecanismo de compensación social rápida.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Riesgo Social (Críticas Constructivas): El uso discrecional puede ser percibido como clientelismo o falta de transparencia. La ausencia de planificación detallada puede llevar a una asignación de recursos que no siempre se alinea con la Estrategia Nacional de Desarrollo o las prioridades de gasto social a largo plazo.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B. Gastos del Fondo de Calamidades y Emergencias Públicas</a:t>
          </a:r>
        </a:p>
        <a:p>
          <a:pPr algn="l" rtl="0">
            <a:defRPr sz="1000"/>
          </a:pPr>
          <a:r>
            <a:rPr lang="es-DO" sz="1100" b="0" i="0" u="none" strike="noStrike" baseline="0">
              <a:solidFill>
                <a:srgbClr val="000000"/>
              </a:solidFill>
              <a:latin typeface="Calibri"/>
              <a:ea typeface="Calibri"/>
              <a:cs typeface="Calibri"/>
            </a:rPr>
            <a:t>Este fondo está diseñado para la prevención, mitigación, y respuesta a desastres (Ley 147-02 y su Reglamento 874-09).</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Positivo: Su ejecución tiene un impacto social fundamental en la protección de vidas y la estabilidad económica de los más vulnerables. Los gastos se traducen en: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Respuesta Humanitaria: Suministro de alimentos, refugio y asistencia médica inmediata tras un evento.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Mitigación de Vulnerabilidad: Inversión en obras de prevención (ej. drenajes, muros de contención).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Recuperación Rápida: Rehabilitación de infraestructura social crítica (escuelas, hospitales, carreteras) para restablecer los servicios básicos.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Riesgo Social (Críticas Constructivas): El desafío principal es la eficiencia y la oportunidad de la respuesta. Una baja ejecución preventiva puede aumentar el costo social (vidas perdidas, daños materiales) cuando ocurre el desastre. La lentitud en la reconstrucción prolonga la vulnerabilidad y el sufrimiento social.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3. Instrumentos Legales de Sustento</a:t>
          </a:r>
        </a:p>
        <a:p>
          <a:pPr algn="l" rtl="0">
            <a:defRPr sz="1000"/>
          </a:pPr>
          <a:r>
            <a:rPr lang="es-DO" sz="1100" b="0" i="0" u="none" strike="noStrike" baseline="0">
              <a:solidFill>
                <a:srgbClr val="000000"/>
              </a:solidFill>
              <a:latin typeface="Calibri"/>
              <a:ea typeface="Calibri"/>
              <a:cs typeface="Calibri"/>
            </a:rPr>
            <a:t>Los marcos normativos que sustentan la administración y uso de estos recursos son: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 Recursos Asignados por Disposición del Presidente</a:t>
          </a:r>
        </a:p>
        <a:p>
          <a:pPr algn="l" rtl="0">
            <a:defRPr sz="1000"/>
          </a:pPr>
          <a:r>
            <a:rPr lang="es-DO" sz="1100" b="0" i="0" u="none" strike="noStrike" baseline="0">
              <a:solidFill>
                <a:srgbClr val="000000"/>
              </a:solidFill>
              <a:latin typeface="Calibri"/>
              <a:ea typeface="Calibri"/>
              <a:cs typeface="Calibri"/>
            </a:rPr>
            <a:t>Ley No. 423-06, Orgánica de Presupuesto para el Sector Público: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50 (o similar en versiones anteriores como Art. 50 de la Ley 531-70): Establece que un porcentaje de los excedentes de ingresos (75% del excedente sobre el estimado mensual en la ley 531-70) se destinará a un fondo especial "a disposición del Poder Ejecutivo, el cual lo aplicará a satisfacer aquellas necesidades públicas que juzgue convenientes" (Fondo de Reserva Presupuestal).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55 (Ley 531-70): Indica que las erogaciones de este fondo requieren la aprobación previa del Presidente de la República.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Constitución de la República Dominicana: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128, numeral 2, literal a: Atribuye al Presidente la potestad de "promulgar y hacer ejecutar las leyes y resoluciones nacionales" y "disponer, cuanto concierna a los Cuerpos Armados y a la Policía Nacional", lo que indirectamente le otorga la potestad de disponer fondos para necesidades de orden público y seguridad.</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Leyes Anuales de Presupuesto General del Estado: Contienen la asignación inicial y las disposiciones específicas para la gestión de estos recursos en cada ejercicio fiscal.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B. Gastos del Fondo de Calamidades y Emergencias Públicas</a:t>
          </a:r>
        </a:p>
        <a:p>
          <a:pPr algn="l" rtl="0">
            <a:defRPr sz="1000"/>
          </a:pPr>
          <a:r>
            <a:rPr lang="es-DO" sz="1100" b="0" i="0" u="none" strike="noStrike" baseline="0">
              <a:solidFill>
                <a:srgbClr val="000000"/>
              </a:solidFill>
              <a:latin typeface="Calibri"/>
              <a:ea typeface="Calibri"/>
              <a:cs typeface="Calibri"/>
            </a:rPr>
            <a:t>Ley No. 147-02 sobre Gestión de Riesgos: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4, numeral 5: Crea el "Fondo Nacional de Prevención, Mitigación y Respuesta ante Desastres" como instrumento de la política de gestión de riesgos.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20 (Reglamento 874-09): Establece que este Fondo es un instrumento de financiamiento de la Comisión Nacional de Emergencias para tres propósitos: medidas preventivas, mitigación de riesgos y respuesta/rehabilitación.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Reglamento de Aplicación de la Ley No. 147-02 (Decreto No. 874-09): Establece las normativas operativas y de ejecución del fondo.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Ley No. 423-06, Orgánica de Presupuesto para el Sector Público: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33: Establece que la Ley de Presupuesto debe incluir una apropiación para atender "calamidades públicas".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58: Dispone que la parte no utilizada de esta apropiación debe aplicarse para disminuir el endeudamiento neto del sector público.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4. Indicadores de Desempeño Social Propuestos</a:t>
          </a:r>
        </a:p>
        <a:p>
          <a:pPr algn="l" rtl="0">
            <a:defRPr sz="1000"/>
          </a:pPr>
          <a:r>
            <a:rPr lang="es-DO" sz="1100" b="0" i="0" u="none" strike="noStrike" baseline="0">
              <a:solidFill>
                <a:srgbClr val="000000"/>
              </a:solidFill>
              <a:latin typeface="Calibri"/>
              <a:ea typeface="Calibri"/>
              <a:cs typeface="Calibri"/>
            </a:rPr>
            <a:t>Estos indicadores están diseñados para ir más allá de la ejecución financiera (%) y medir el impacto social de los recursos, sirviendo como compás y farol para la toma de decisiones.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No. Indicador de Desempeño Social Clasificación Enfocada Justificación</a:t>
          </a:r>
        </a:p>
        <a:p>
          <a:pPr algn="l" rtl="0">
            <a:defRPr sz="1000"/>
          </a:pPr>
          <a:r>
            <a:rPr lang="es-DO" sz="1100" b="0" i="0" u="none" strike="noStrike" baseline="0">
              <a:solidFill>
                <a:srgbClr val="000000"/>
              </a:solidFill>
              <a:latin typeface="Calibri"/>
              <a:ea typeface="Calibri"/>
              <a:cs typeface="Calibri"/>
            </a:rPr>
            <a:t>1 Índice de Oportunidad y Focalización (IOF) Institucional / Funcional (Recursos Presidenciales) Mide la rapidez y la equidad geográfica/demográfica de la asignación de fondos presidenciales. Un valor alto indica que los fondos se asignaron rápidamente (Oportunidad) a los municipios o grupos más vulnerables (Focalización) según indicadores de pobreza o necesidad.</a:t>
          </a:r>
        </a:p>
        <a:p>
          <a:pPr algn="l" rtl="0">
            <a:defRPr sz="1000"/>
          </a:pPr>
          <a:r>
            <a:rPr lang="es-DO" sz="1100" b="0" i="0" u="none" strike="noStrike" baseline="0">
              <a:solidFill>
                <a:srgbClr val="000000"/>
              </a:solidFill>
              <a:latin typeface="Calibri"/>
              <a:ea typeface="Calibri"/>
              <a:cs typeface="Calibri"/>
            </a:rPr>
            <a:t>2 Tasa de Reducción de la Vulnerabilidad (TRV) Económica / Funcional (Fondo Calamidades - Prevención/Mitigación) Mide el porcentaje de la población en zonas de alto riesgo que se beneficia de proyectos de mitigación financiados por el fondo (ej. construcción de viviendas seguras, protección de cauces de ríos). Se calcula como:  </a:t>
          </a:r>
        </a:p>
        <a:p>
          <a:pPr algn="l" rtl="0">
            <a:defRPr sz="1000"/>
          </a:pPr>
          <a:r>
            <a:rPr lang="es-DO" sz="1100" b="0" i="0" u="none" strike="noStrike" baseline="0">
              <a:solidFill>
                <a:srgbClr val="000000"/>
              </a:solidFill>
              <a:latin typeface="Calibri"/>
              <a:ea typeface="Calibri"/>
              <a:cs typeface="Calibri"/>
            </a:rPr>
            <a:t>Poblaci </a:t>
          </a:r>
        </a:p>
        <a:p>
          <a:pPr algn="l" rtl="0">
            <a:defRPr sz="1000"/>
          </a:pPr>
          <a:r>
            <a:rPr lang="es-DO" sz="1100" b="0" i="0" u="none" strike="noStrike" baseline="0">
              <a:solidFill>
                <a:srgbClr val="000000"/>
              </a:solidFill>
              <a:latin typeface="Calibri"/>
              <a:ea typeface="Calibri"/>
              <a:cs typeface="Calibri"/>
            </a:rPr>
            <a:t>o</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n total en zonas de riesgo priorizadas</a:t>
          </a:r>
        </a:p>
        <a:p>
          <a:pPr algn="l" rtl="0">
            <a:defRPr sz="1000"/>
          </a:pPr>
          <a:r>
            <a:rPr lang="es-DO" sz="1100" b="0" i="0" u="none" strike="noStrike" baseline="0">
              <a:solidFill>
                <a:srgbClr val="000000"/>
              </a:solidFill>
              <a:latin typeface="Calibri"/>
              <a:ea typeface="Calibri"/>
              <a:cs typeface="Calibri"/>
            </a:rPr>
            <a:t>Poblaci </a:t>
          </a:r>
        </a:p>
        <a:p>
          <a:pPr algn="l" rtl="0">
            <a:defRPr sz="1000"/>
          </a:pPr>
          <a:r>
            <a:rPr lang="es-DO" sz="1100" b="0" i="0" u="none" strike="noStrike" baseline="0">
              <a:solidFill>
                <a:srgbClr val="000000"/>
              </a:solidFill>
              <a:latin typeface="Calibri"/>
              <a:ea typeface="Calibri"/>
              <a:cs typeface="Calibri"/>
            </a:rPr>
            <a:t>o</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n beneficiada por proyectos de prevenci </a:t>
          </a:r>
        </a:p>
        <a:p>
          <a:pPr algn="l" rtl="0">
            <a:defRPr sz="1000"/>
          </a:pPr>
          <a:r>
            <a:rPr lang="es-DO" sz="1100" b="0" i="0" u="none" strike="noStrike" baseline="0">
              <a:solidFill>
                <a:srgbClr val="000000"/>
              </a:solidFill>
              <a:latin typeface="Calibri"/>
              <a:ea typeface="Calibri"/>
              <a:cs typeface="Calibri"/>
            </a:rPr>
            <a:t>o</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n</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3 Costo Promedio de Recuperación Social (CPRS) Económica / Funcional (Fondo Calamidades - Respuesta/Rehabilitación) Mide la eficiencia económica del impacto social post-desastre. Compara el gasto del fondo en rehabilitación con el número de familias o servicios esenciales restablecidos.  </a:t>
          </a:r>
        </a:p>
        <a:p>
          <a:pPr algn="l" rtl="0">
            <a:defRPr sz="1000"/>
          </a:pPr>
          <a:r>
            <a:rPr lang="es-DO" sz="1100" b="0" i="0" u="none" strike="noStrike" baseline="0">
              <a:solidFill>
                <a:srgbClr val="000000"/>
              </a:solidFill>
              <a:latin typeface="Calibri"/>
              <a:ea typeface="Calibri"/>
              <a:cs typeface="Calibri"/>
            </a:rPr>
            <a:t>N </a:t>
          </a:r>
        </a:p>
        <a:p>
          <a:pPr algn="l" rtl="0">
            <a:defRPr sz="1000"/>
          </a:pPr>
          <a:r>
            <a:rPr lang="es-DO" sz="1100" b="0" i="0" u="none" strike="noStrike" baseline="0">
              <a:solidFill>
                <a:srgbClr val="000000"/>
              </a:solidFill>
              <a:latin typeface="Calibri"/>
              <a:ea typeface="Calibri"/>
              <a:cs typeface="Calibri"/>
            </a:rPr>
            <a:t>u</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mero de familias con servicios b </a:t>
          </a:r>
        </a:p>
        <a:p>
          <a:pPr algn="l" rtl="0">
            <a:defRPr sz="1000"/>
          </a:pPr>
          <a:r>
            <a:rPr lang="es-DO" sz="1100" b="0" i="0" u="none" strike="noStrike" baseline="0">
              <a:solidFill>
                <a:srgbClr val="000000"/>
              </a:solidFill>
              <a:latin typeface="Calibri"/>
              <a:ea typeface="Calibri"/>
              <a:cs typeface="Calibri"/>
            </a:rPr>
            <a:t>a</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sicos restablecidos + N </a:t>
          </a:r>
        </a:p>
        <a:p>
          <a:pPr algn="l" rtl="0">
            <a:defRPr sz="1000"/>
          </a:pPr>
          <a:r>
            <a:rPr lang="es-DO" sz="1100" b="0" i="0" u="none" strike="noStrike" baseline="0">
              <a:solidFill>
                <a:srgbClr val="000000"/>
              </a:solidFill>
              <a:latin typeface="Calibri"/>
              <a:ea typeface="Calibri"/>
              <a:cs typeface="Calibri"/>
            </a:rPr>
            <a:t>u</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mero de centros sociales reparados</a:t>
          </a:r>
        </a:p>
        <a:p>
          <a:pPr algn="l" rtl="0">
            <a:defRPr sz="1000"/>
          </a:pPr>
          <a:r>
            <a:rPr lang="es-DO" sz="1100" b="0" i="0" u="none" strike="noStrike" baseline="0">
              <a:solidFill>
                <a:srgbClr val="000000"/>
              </a:solidFill>
              <a:latin typeface="Calibri"/>
              <a:ea typeface="Calibri"/>
              <a:cs typeface="Calibri"/>
            </a:rPr>
            <a:t>Gasto devengado en rehabilitaci </a:t>
          </a:r>
        </a:p>
        <a:p>
          <a:pPr algn="l" rtl="0">
            <a:defRPr sz="1000"/>
          </a:pPr>
          <a:r>
            <a:rPr lang="es-DO" sz="1100" b="0" i="0" u="none" strike="noStrike" baseline="0">
              <a:solidFill>
                <a:srgbClr val="000000"/>
              </a:solidFill>
              <a:latin typeface="Calibri"/>
              <a:ea typeface="Calibri"/>
              <a:cs typeface="Calibri"/>
            </a:rPr>
            <a:t>o</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n social y servicios b </a:t>
          </a:r>
        </a:p>
        <a:p>
          <a:pPr algn="l" rtl="0">
            <a:defRPr sz="1000"/>
          </a:pPr>
          <a:r>
            <a:rPr lang="es-DO" sz="1100" b="0" i="0" u="none" strike="noStrike" baseline="0">
              <a:solidFill>
                <a:srgbClr val="000000"/>
              </a:solidFill>
              <a:latin typeface="Calibri"/>
              <a:ea typeface="Calibri"/>
              <a:cs typeface="Calibri"/>
            </a:rPr>
            <a:t>a</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sicos</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Exportar a Hojas de cálculo</a:t>
          </a:r>
        </a:p>
        <a:p>
          <a:pPr algn="l" rtl="0">
            <a:defRPr sz="1000"/>
          </a:pPr>
          <a:r>
            <a:rPr lang="es-DO" sz="1100" b="0" i="0" u="none" strike="noStrike" baseline="0">
              <a:solidFill>
                <a:srgbClr val="000000"/>
              </a:solidFill>
              <a:latin typeface="Calibri"/>
              <a:ea typeface="Calibri"/>
              <a:cs typeface="Calibri"/>
            </a:rPr>
            <a:t>5. Siete (7) Políticas Sociales Viables y con Impacto Positivo</a:t>
          </a:r>
        </a:p>
        <a:p>
          <a:pPr algn="l" rtl="0">
            <a:defRPr sz="1000"/>
          </a:pPr>
          <a:r>
            <a:rPr lang="es-DO" sz="1100" b="0" i="0" u="none" strike="noStrike" baseline="0">
              <a:solidFill>
                <a:srgbClr val="000000"/>
              </a:solidFill>
              <a:latin typeface="Calibri"/>
              <a:ea typeface="Calibri"/>
              <a:cs typeface="Calibri"/>
            </a:rPr>
            <a:t>A continuación, se proponen siete (7) políticas sociales, con énfasis en la sostenibilidad y la equidad:</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Programa Nacional de Cuidado y Desarrollo Infantil Temprano (CUDIT):</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Ampliación masiva y estandarizada de estancias infantiles y centros de atención a la primera infancia (0-5 años), priorizando las zonas de alta pobreza urbana y rural. Incorpora salud, nutrición y estimulación temprana.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Rompe el ciclo de la pobreza desde la base; permite la inserción laboral de las madres; mejora el capital humano a largo plazo.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Bono de Renta Activa y Capacitación Técnica (BRACET):</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Sustitución gradual de subsidios pasivos por un bono condicionado a la participación obligatoria en programas de formación técnica y profesional (INFOTEP) en áreas de alta demanda laboral (tecnología, turismo, construcción sostenible).</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Transforma la asistencia social en inversión en capital humano; reduce la dependencia del subsidio; aumenta la productividad laboral e ingresos familiares.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Red de Centros de Servicios Integrados al Adulto Mayor (CSIAM):</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Creación de centros diurnos y residenciales con servicios de salud gerontológica, nutrición, recreación y apoyo psicológico, gestionados por el Estado y en colaboración con ONG especializadas.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Alivia la carga de cuidado familiar; garantiza el derecho a una vejez digna y activa; mejora la calidad de vida y la salud mental de los mayores.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Inversión en Infraestructura Resiliente y Sostenible (IRS):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Política de inversión pública que exige que toda nueva infraestructura crítica (escuelas, hospitales, puentes) en zonas de riesgo sea construida bajo códigos sísmicos y de inundación más estrictos. Inversión activa en sistemas de drenaje pluvial en ciudades vulnerables.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Reduce la necesidad futura de utilizar el Fondo de Calamidades para reparación; protege la inversión pública; salva vidas.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Política de Acceso al Agua Potable y Saneamiento Rural (APSR):</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Asignación prioritaria y multianual de recursos para la construcción de acueductos rurales, plantas de tratamiento de aguas residuales y programas de educación sanitaria en comunidades dispersas.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Impacto directo en la salud pública (reducción de enfermedades hídricas); mejora la calidad de vida; dignifica a las comunidades rurales.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Fondo de Emprendimiento Juvenil y Femenino (FEX):</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Capital semilla y microcréditos blandos, vinculados a mentoría y asistencia técnica, dirigidos a jóvenes (18-35 años) y mujeres en condiciones de vulnerabilidad, enfocados en la economía naranja y verde.</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Fomenta la autonomía económica de las mujeres y los jóvenes; genera empleo local y sostenible; diversifica la economía.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Sistema de Monitoreo Comunitario y Alerta Temprana (SIMCAT):</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Fortalecimiento del rol de las Juntas de Vecinos y líderes comunitarios en la gestión de riesgos, a través de capacitación en el uso de tecnologías de alerta temprana y la co-creación de planes de evacuación locales, financiados por el Fondo de Calamidades.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Mejora la respuesta inmediata y la supervivencia en caso de desastre; promueve la cohesión social y la cultura de prevención.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6. Informe Ejecutivo del Trabajo en Equipo</a:t>
          </a:r>
        </a:p>
        <a:p>
          <a:pPr algn="l" rtl="0">
            <a:defRPr sz="1000"/>
          </a:pPr>
          <a:r>
            <a:rPr lang="es-DO" sz="1100" b="0" i="0" u="none" strike="noStrike" baseline="0">
              <a:solidFill>
                <a:srgbClr val="000000"/>
              </a:solidFill>
              <a:latin typeface="Calibri"/>
              <a:ea typeface="Calibri"/>
              <a:cs typeface="Calibri"/>
            </a:rPr>
            <a:t>Conclusiones</a:t>
          </a:r>
        </a:p>
        <a:p>
          <a:pPr algn="l" rtl="0">
            <a:defRPr sz="1000"/>
          </a:pPr>
          <a:r>
            <a:rPr lang="es-DO" sz="1100" b="0" i="0" u="none" strike="noStrike" baseline="0">
              <a:solidFill>
                <a:srgbClr val="000000"/>
              </a:solidFill>
              <a:latin typeface="Calibri"/>
              <a:ea typeface="Calibri"/>
              <a:cs typeface="Calibri"/>
            </a:rPr>
            <a:t>La gestión financiera pública en la República Dominicana se apoya en dos mecanismos de gasto social de naturaleza y flexibilidad contrastantes: los Recursos Asignados por Disposición del Presidente y el Fondo de Calamidades y Emergencias Públicas.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Flexibilidad vs. Transparencia: Los recursos presidenciales ofrecen una flexibilidad crucial para atender necesidades urgentes o puntuales. Sin embargo, su carácter discrecional exige el más alto nivel de transparencia y control para evitar desviaciones. El análisis de la Clasificación Funcional e Institucional en el ERIR es vital para comprender la priorización real de estos fondos.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Eficiencia y Equidad en Emergencias: El Fondo de Calamidades tiene un impacto social indiscutible al proteger a la población ante desastres naturales. La equidad de su asignación (Clasificación Institucional y Funcional) debe evaluarse según la distribución de la vulnerabilidad en el territorio y no solo por la presión política. La subejecución en la prevención y la ineficiencia en la respuesta post-desastre (como se mediría con el CPRS) constituyen una amenaza a la equidad social.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Necesidad de Desempeño Social: Los indicadores presupuestarios tradicionales (Ejecución %) son insuficientes. Los indicadores propuestos, como el Índice de Oportunidad y Focalización (IOF) y la Tasa de Reducción de la Vulnerabilidad (TRV), son necesarios para medir el verdadero impacto social y guiar la toma de decisiones hacia una gestión más eficiente y equitativa.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Críticas Constructivas sobre la Eficiencia y Equidad</a:t>
          </a:r>
        </a:p>
        <a:p>
          <a:pPr algn="l" rtl="0">
            <a:defRPr sz="1000"/>
          </a:pPr>
          <a:r>
            <a:rPr lang="es-DO" sz="1100" b="0" i="0" u="none" strike="noStrike" baseline="0">
              <a:solidFill>
                <a:srgbClr val="000000"/>
              </a:solidFill>
              <a:latin typeface="Calibri"/>
              <a:ea typeface="Calibri"/>
              <a:cs typeface="Calibri"/>
            </a:rPr>
            <a:t>Aspecto Crítica Constructiva</a:t>
          </a:r>
        </a:p>
        <a:p>
          <a:pPr algn="l" rtl="0">
            <a:defRPr sz="1000"/>
          </a:pPr>
          <a:r>
            <a:rPr lang="es-DO" sz="1100" b="0" i="0" u="none" strike="noStrike" baseline="0">
              <a:solidFill>
                <a:srgbClr val="000000"/>
              </a:solidFill>
              <a:latin typeface="Calibri"/>
              <a:ea typeface="Calibri"/>
              <a:cs typeface="Calibri"/>
            </a:rPr>
            <a:t>Eficiencia de los Recursos Presidenciales Su uso debería estar más vinculado a la Estrategia Nacional de Desarrollo (END) y a planes de desarrollo local, reduciendo la discrecionalidad y aumentando la inversión en proyectos con un Retorno Social de la Inversión (RSI) alto y comprobable.</a:t>
          </a:r>
        </a:p>
        <a:p>
          <a:pPr algn="l" rtl="0">
            <a:defRPr sz="1000"/>
          </a:pPr>
          <a:r>
            <a:rPr lang="es-DO" sz="1100" b="0" i="0" u="none" strike="noStrike" baseline="0">
              <a:solidFill>
                <a:srgbClr val="000000"/>
              </a:solidFill>
              <a:latin typeface="Calibri"/>
              <a:ea typeface="Calibri"/>
              <a:cs typeface="Calibri"/>
            </a:rPr>
            <a:t>Equidad del Fondo de Calamidades Se observa una desproporción histórica entre el gasto de Respuesta (reparación) y el gasto de Prevención/Mitigación. La equidad se logra invirtiendo preventivamente en las comunidades de mayor riesgo, incluso si no han sufrido un evento reciente.</a:t>
          </a:r>
        </a:p>
        <a:p>
          <a:pPr algn="l" rtl="0">
            <a:defRPr sz="1000"/>
          </a:pPr>
          <a:r>
            <a:rPr lang="es-DO" sz="1100" b="0" i="0" u="none" strike="noStrike" baseline="0">
              <a:solidFill>
                <a:srgbClr val="000000"/>
              </a:solidFill>
              <a:latin typeface="Calibri"/>
              <a:ea typeface="Calibri"/>
              <a:cs typeface="Calibri"/>
            </a:rPr>
            <a:t>Transparencia y Publicidad La disponibilidad del detalle de la ejecución de ambos fondos en el ERIR debe ser más accesible y didáctica, facilitando la auditoría social por parte de la ciudadanía y los organismos de control.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Exportar a Hojas de cálculo</a:t>
          </a:r>
        </a:p>
        <a:p>
          <a:pPr algn="l" rtl="0">
            <a:defRPr sz="1000"/>
          </a:pPr>
          <a:r>
            <a:rPr lang="es-DO" sz="1100" b="0" i="0" u="none" strike="noStrike" baseline="0">
              <a:solidFill>
                <a:srgbClr val="000000"/>
              </a:solidFill>
              <a:latin typeface="Calibri"/>
              <a:ea typeface="Calibri"/>
              <a:cs typeface="Calibri"/>
            </a:rPr>
            <a:t>Recomendaciones</a:t>
          </a:r>
        </a:p>
        <a:p>
          <a:pPr algn="l" rtl="0">
            <a:defRPr sz="1000"/>
          </a:pPr>
          <a:r>
            <a:rPr lang="es-DO" sz="1100" b="0" i="0" u="none" strike="noStrike" baseline="0">
              <a:solidFill>
                <a:srgbClr val="000000"/>
              </a:solidFill>
              <a:latin typeface="Calibri"/>
              <a:ea typeface="Calibri"/>
              <a:cs typeface="Calibri"/>
            </a:rPr>
            <a:t>Reforzar el Gasto en Prevención (Fondo de Calamidades): Aumentar la asignación presupuestaria a la prevención y mitigación de riesgos y establecer metas de desempeño claras (ej. una meta del 40% del gasto del fondo dedicado a mitigación).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Normativa de Transparencia para Asignaciones Presidenciales: Crear una resolución presidencial que establezca criterios sociales objetivos (pobreza, necesidad, cobertura) para la disposición de los recursos especiales, más allá de la simple discrecionalidad.</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Implementar Indicadores de Impacto Social: Adoptar formalmente indicadores como el IOF y la TRV en los informes de gestión y el próximo ERIR para evaluar la política social de ambos fondos.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Fuentes de Información</a:t>
          </a:r>
        </a:p>
        <a:p>
          <a:pPr algn="l" rtl="0">
            <a:defRPr sz="1000"/>
          </a:pPr>
          <a:r>
            <a:rPr lang="es-DO" sz="1100" b="0" i="0" u="none" strike="noStrike" baseline="0">
              <a:solidFill>
                <a:srgbClr val="000000"/>
              </a:solidFill>
              <a:latin typeface="Calibri"/>
              <a:ea typeface="Calibri"/>
              <a:cs typeface="Calibri"/>
            </a:rPr>
            <a:t>Estado de Recaudación e Inversión de las Rentas (ERIR) 2023 y 2024 (Capítulo V - Ejecución Presupuestaria Consolidada): (Se requiere acceso a los documentos oficiales de la DIGECOG para las cifras exactas).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Ley No. 423-06 Orgánica de Presupuesto para el Sector Público.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Ley No. 147-02 sobre Gestión de Riesgos y su Reglamento Decreto No. 874-09.</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Constitución de la República Dominicana (Art. 128).</a:t>
          </a:r>
        </a:p>
      </xdr:txBody>
    </xdr:sp>
    <xdr:clientData/>
  </xdr:twoCellAnchor>
  <xdr:twoCellAnchor>
    <xdr:from>
      <xdr:col>0</xdr:col>
      <xdr:colOff>0</xdr:colOff>
      <xdr:row>196</xdr:row>
      <xdr:rowOff>0</xdr:rowOff>
    </xdr:from>
    <xdr:to>
      <xdr:col>1</xdr:col>
      <xdr:colOff>2136321</xdr:colOff>
      <xdr:row>196</xdr:row>
      <xdr:rowOff>13607</xdr:rowOff>
    </xdr:to>
    <xdr:cxnSp macro="">
      <xdr:nvCxnSpPr>
        <xdr:cNvPr id="7" name="Conector recto 6">
          <a:extLst>
            <a:ext uri="{FF2B5EF4-FFF2-40B4-BE49-F238E27FC236}">
              <a16:creationId xmlns:a16="http://schemas.microsoft.com/office/drawing/2014/main" id="{C9457074-322D-44ED-82B2-E2AF33252BA8}"/>
            </a:ext>
          </a:extLst>
        </xdr:cNvPr>
        <xdr:cNvCxnSpPr/>
      </xdr:nvCxnSpPr>
      <xdr:spPr>
        <a:xfrm>
          <a:off x="0" y="76304775"/>
          <a:ext cx="3412671"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653142</xdr:colOff>
      <xdr:row>196</xdr:row>
      <xdr:rowOff>0</xdr:rowOff>
    </xdr:from>
    <xdr:to>
      <xdr:col>11</xdr:col>
      <xdr:colOff>1055915</xdr:colOff>
      <xdr:row>196</xdr:row>
      <xdr:rowOff>0</xdr:rowOff>
    </xdr:to>
    <xdr:cxnSp macro="">
      <xdr:nvCxnSpPr>
        <xdr:cNvPr id="8" name="Conector recto 7">
          <a:extLst>
            <a:ext uri="{FF2B5EF4-FFF2-40B4-BE49-F238E27FC236}">
              <a16:creationId xmlns:a16="http://schemas.microsoft.com/office/drawing/2014/main" id="{78775541-9619-40F3-826A-501B4C69DE8A}"/>
            </a:ext>
          </a:extLst>
        </xdr:cNvPr>
        <xdr:cNvCxnSpPr/>
      </xdr:nvCxnSpPr>
      <xdr:spPr>
        <a:xfrm>
          <a:off x="17445717" y="76304775"/>
          <a:ext cx="30411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540203</xdr:colOff>
      <xdr:row>196</xdr:row>
      <xdr:rowOff>0</xdr:rowOff>
    </xdr:from>
    <xdr:to>
      <xdr:col>5</xdr:col>
      <xdr:colOff>394607</xdr:colOff>
      <xdr:row>196</xdr:row>
      <xdr:rowOff>0</xdr:rowOff>
    </xdr:to>
    <xdr:cxnSp macro="">
      <xdr:nvCxnSpPr>
        <xdr:cNvPr id="9" name="Conector recto 8">
          <a:extLst>
            <a:ext uri="{FF2B5EF4-FFF2-40B4-BE49-F238E27FC236}">
              <a16:creationId xmlns:a16="http://schemas.microsoft.com/office/drawing/2014/main" id="{95DB900F-FC5C-4442-830A-CBA826F117B0}"/>
            </a:ext>
          </a:extLst>
        </xdr:cNvPr>
        <xdr:cNvCxnSpPr/>
      </xdr:nvCxnSpPr>
      <xdr:spPr>
        <a:xfrm>
          <a:off x="7417253" y="76304775"/>
          <a:ext cx="348342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2033681</xdr:colOff>
      <xdr:row>95</xdr:row>
      <xdr:rowOff>1</xdr:rowOff>
    </xdr:from>
    <xdr:to>
      <xdr:col>6</xdr:col>
      <xdr:colOff>369868</xdr:colOff>
      <xdr:row>95</xdr:row>
      <xdr:rowOff>186</xdr:rowOff>
    </xdr:to>
    <xdr:cxnSp macro="">
      <xdr:nvCxnSpPr>
        <xdr:cNvPr id="2" name="Conector recto 1">
          <a:extLst>
            <a:ext uri="{FF2B5EF4-FFF2-40B4-BE49-F238E27FC236}">
              <a16:creationId xmlns:a16="http://schemas.microsoft.com/office/drawing/2014/main" id="{70CBF179-4365-4B20-9D99-304302F7EAEF}"/>
            </a:ext>
          </a:extLst>
        </xdr:cNvPr>
        <xdr:cNvCxnSpPr/>
      </xdr:nvCxnSpPr>
      <xdr:spPr>
        <a:xfrm flipV="1">
          <a:off x="9977531" y="35223451"/>
          <a:ext cx="3193937"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95</xdr:row>
      <xdr:rowOff>0</xdr:rowOff>
    </xdr:from>
    <xdr:to>
      <xdr:col>1</xdr:col>
      <xdr:colOff>1428750</xdr:colOff>
      <xdr:row>95</xdr:row>
      <xdr:rowOff>0</xdr:rowOff>
    </xdr:to>
    <xdr:cxnSp macro="">
      <xdr:nvCxnSpPr>
        <xdr:cNvPr id="3" name="Conector recto 2">
          <a:extLst>
            <a:ext uri="{FF2B5EF4-FFF2-40B4-BE49-F238E27FC236}">
              <a16:creationId xmlns:a16="http://schemas.microsoft.com/office/drawing/2014/main" id="{D3ED4D5D-DF02-4733-87B7-E37138659C6E}"/>
            </a:ext>
          </a:extLst>
        </xdr:cNvPr>
        <xdr:cNvCxnSpPr/>
      </xdr:nvCxnSpPr>
      <xdr:spPr>
        <a:xfrm>
          <a:off x="0" y="35223450"/>
          <a:ext cx="2847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163287</xdr:colOff>
      <xdr:row>0</xdr:row>
      <xdr:rowOff>13608</xdr:rowOff>
    </xdr:from>
    <xdr:to>
      <xdr:col>1</xdr:col>
      <xdr:colOff>361950</xdr:colOff>
      <xdr:row>3</xdr:row>
      <xdr:rowOff>68554</xdr:rowOff>
    </xdr:to>
    <xdr:pic>
      <xdr:nvPicPr>
        <xdr:cNvPr id="4" name="Imagen 3">
          <a:extLst>
            <a:ext uri="{FF2B5EF4-FFF2-40B4-BE49-F238E27FC236}">
              <a16:creationId xmlns:a16="http://schemas.microsoft.com/office/drawing/2014/main" id="{87657B50-447F-4C0F-9A10-AFB1D861EC78}"/>
            </a:ext>
          </a:extLst>
        </xdr:cNvPr>
        <xdr:cNvPicPr>
          <a:picLocks noChangeAspect="1"/>
        </xdr:cNvPicPr>
      </xdr:nvPicPr>
      <xdr:blipFill>
        <a:blip xmlns:r="http://schemas.openxmlformats.org/officeDocument/2006/relationships" r:embed="rId1"/>
        <a:stretch>
          <a:fillRect/>
        </a:stretch>
      </xdr:blipFill>
      <xdr:spPr>
        <a:xfrm>
          <a:off x="163287" y="13608"/>
          <a:ext cx="960663" cy="626446"/>
        </a:xfrm>
        <a:prstGeom prst="rect">
          <a:avLst/>
        </a:prstGeom>
      </xdr:spPr>
    </xdr:pic>
    <xdr:clientData/>
  </xdr:twoCellAnchor>
  <xdr:twoCellAnchor>
    <xdr:from>
      <xdr:col>9</xdr:col>
      <xdr:colOff>1102179</xdr:colOff>
      <xdr:row>95</xdr:row>
      <xdr:rowOff>0</xdr:rowOff>
    </xdr:from>
    <xdr:to>
      <xdr:col>12</xdr:col>
      <xdr:colOff>105117</xdr:colOff>
      <xdr:row>95</xdr:row>
      <xdr:rowOff>185</xdr:rowOff>
    </xdr:to>
    <xdr:cxnSp macro="">
      <xdr:nvCxnSpPr>
        <xdr:cNvPr id="5" name="Conector recto 4">
          <a:extLst>
            <a:ext uri="{FF2B5EF4-FFF2-40B4-BE49-F238E27FC236}">
              <a16:creationId xmlns:a16="http://schemas.microsoft.com/office/drawing/2014/main" id="{25804EEE-2832-4BDD-8F15-ADC4E0D00B46}"/>
            </a:ext>
          </a:extLst>
        </xdr:cNvPr>
        <xdr:cNvCxnSpPr/>
      </xdr:nvCxnSpPr>
      <xdr:spPr>
        <a:xfrm flipV="1">
          <a:off x="18218604" y="35223450"/>
          <a:ext cx="3298713"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1728107</xdr:colOff>
      <xdr:row>23</xdr:row>
      <xdr:rowOff>1</xdr:rowOff>
    </xdr:from>
    <xdr:to>
      <xdr:col>8</xdr:col>
      <xdr:colOff>369868</xdr:colOff>
      <xdr:row>23</xdr:row>
      <xdr:rowOff>13608</xdr:rowOff>
    </xdr:to>
    <xdr:cxnSp macro="">
      <xdr:nvCxnSpPr>
        <xdr:cNvPr id="2" name="Conector recto 1">
          <a:extLst>
            <a:ext uri="{FF2B5EF4-FFF2-40B4-BE49-F238E27FC236}">
              <a16:creationId xmlns:a16="http://schemas.microsoft.com/office/drawing/2014/main" id="{F80F5ECD-9200-441C-A72B-1FDCCBD942A4}"/>
            </a:ext>
          </a:extLst>
        </xdr:cNvPr>
        <xdr:cNvCxnSpPr/>
      </xdr:nvCxnSpPr>
      <xdr:spPr>
        <a:xfrm flipV="1">
          <a:off x="8824232" y="8343901"/>
          <a:ext cx="2413661"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40821</xdr:colOff>
      <xdr:row>23</xdr:row>
      <xdr:rowOff>0</xdr:rowOff>
    </xdr:from>
    <xdr:to>
      <xdr:col>3</xdr:col>
      <xdr:colOff>1932214</xdr:colOff>
      <xdr:row>23</xdr:row>
      <xdr:rowOff>0</xdr:rowOff>
    </xdr:to>
    <xdr:cxnSp macro="">
      <xdr:nvCxnSpPr>
        <xdr:cNvPr id="3" name="Conector recto 2">
          <a:extLst>
            <a:ext uri="{FF2B5EF4-FFF2-40B4-BE49-F238E27FC236}">
              <a16:creationId xmlns:a16="http://schemas.microsoft.com/office/drawing/2014/main" id="{778A9DCC-D758-4641-8F5E-812087FC9CA8}"/>
            </a:ext>
          </a:extLst>
        </xdr:cNvPr>
        <xdr:cNvCxnSpPr/>
      </xdr:nvCxnSpPr>
      <xdr:spPr>
        <a:xfrm>
          <a:off x="40821" y="8343900"/>
          <a:ext cx="313916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1102179</xdr:colOff>
      <xdr:row>23</xdr:row>
      <xdr:rowOff>0</xdr:rowOff>
    </xdr:from>
    <xdr:to>
      <xdr:col>14</xdr:col>
      <xdr:colOff>105117</xdr:colOff>
      <xdr:row>23</xdr:row>
      <xdr:rowOff>185</xdr:rowOff>
    </xdr:to>
    <xdr:cxnSp macro="">
      <xdr:nvCxnSpPr>
        <xdr:cNvPr id="4" name="Conector recto 3">
          <a:extLst>
            <a:ext uri="{FF2B5EF4-FFF2-40B4-BE49-F238E27FC236}">
              <a16:creationId xmlns:a16="http://schemas.microsoft.com/office/drawing/2014/main" id="{7846092A-CD96-4506-A86A-802014575A55}"/>
            </a:ext>
          </a:extLst>
        </xdr:cNvPr>
        <xdr:cNvCxnSpPr/>
      </xdr:nvCxnSpPr>
      <xdr:spPr>
        <a:xfrm flipV="1">
          <a:off x="16237404" y="8343900"/>
          <a:ext cx="2746263"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107497</xdr:colOff>
      <xdr:row>2</xdr:row>
      <xdr:rowOff>53068</xdr:rowOff>
    </xdr:from>
    <xdr:to>
      <xdr:col>3</xdr:col>
      <xdr:colOff>495301</xdr:colOff>
      <xdr:row>7</xdr:row>
      <xdr:rowOff>113601</xdr:rowOff>
    </xdr:to>
    <xdr:pic>
      <xdr:nvPicPr>
        <xdr:cNvPr id="5" name="Imagen 4">
          <a:extLst>
            <a:ext uri="{FF2B5EF4-FFF2-40B4-BE49-F238E27FC236}">
              <a16:creationId xmlns:a16="http://schemas.microsoft.com/office/drawing/2014/main" id="{1D38A3CB-77D2-4888-8371-1F29AF841C57}"/>
            </a:ext>
          </a:extLst>
        </xdr:cNvPr>
        <xdr:cNvPicPr>
          <a:picLocks noChangeAspect="1"/>
        </xdr:cNvPicPr>
      </xdr:nvPicPr>
      <xdr:blipFill>
        <a:blip xmlns:r="http://schemas.openxmlformats.org/officeDocument/2006/relationships" r:embed="rId1"/>
        <a:stretch>
          <a:fillRect/>
        </a:stretch>
      </xdr:blipFill>
      <xdr:spPr>
        <a:xfrm>
          <a:off x="1631497" y="434068"/>
          <a:ext cx="1149804" cy="10130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1632857</xdr:colOff>
      <xdr:row>22</xdr:row>
      <xdr:rowOff>1</xdr:rowOff>
    </xdr:from>
    <xdr:to>
      <xdr:col>7</xdr:col>
      <xdr:colOff>369868</xdr:colOff>
      <xdr:row>22</xdr:row>
      <xdr:rowOff>13608</xdr:rowOff>
    </xdr:to>
    <xdr:cxnSp macro="">
      <xdr:nvCxnSpPr>
        <xdr:cNvPr id="2" name="Conector recto 1">
          <a:extLst>
            <a:ext uri="{FF2B5EF4-FFF2-40B4-BE49-F238E27FC236}">
              <a16:creationId xmlns:a16="http://schemas.microsoft.com/office/drawing/2014/main" id="{A77DF5F3-D635-422E-B4DA-08ECB067252A}"/>
            </a:ext>
          </a:extLst>
        </xdr:cNvPr>
        <xdr:cNvCxnSpPr/>
      </xdr:nvCxnSpPr>
      <xdr:spPr>
        <a:xfrm flipV="1">
          <a:off x="8728982" y="8172451"/>
          <a:ext cx="2508911"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40821</xdr:colOff>
      <xdr:row>22</xdr:row>
      <xdr:rowOff>0</xdr:rowOff>
    </xdr:from>
    <xdr:to>
      <xdr:col>3</xdr:col>
      <xdr:colOff>0</xdr:colOff>
      <xdr:row>22</xdr:row>
      <xdr:rowOff>0</xdr:rowOff>
    </xdr:to>
    <xdr:cxnSp macro="">
      <xdr:nvCxnSpPr>
        <xdr:cNvPr id="3" name="Conector recto 2">
          <a:extLst>
            <a:ext uri="{FF2B5EF4-FFF2-40B4-BE49-F238E27FC236}">
              <a16:creationId xmlns:a16="http://schemas.microsoft.com/office/drawing/2014/main" id="{990AEFCE-5D58-49C8-B9DA-FD026E3B8B59}"/>
            </a:ext>
          </a:extLst>
        </xdr:cNvPr>
        <xdr:cNvCxnSpPr/>
      </xdr:nvCxnSpPr>
      <xdr:spPr>
        <a:xfrm>
          <a:off x="40821" y="8172450"/>
          <a:ext cx="405492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1102179</xdr:colOff>
      <xdr:row>22</xdr:row>
      <xdr:rowOff>0</xdr:rowOff>
    </xdr:from>
    <xdr:to>
      <xdr:col>13</xdr:col>
      <xdr:colOff>105117</xdr:colOff>
      <xdr:row>22</xdr:row>
      <xdr:rowOff>185</xdr:rowOff>
    </xdr:to>
    <xdr:cxnSp macro="">
      <xdr:nvCxnSpPr>
        <xdr:cNvPr id="4" name="Conector recto 3">
          <a:extLst>
            <a:ext uri="{FF2B5EF4-FFF2-40B4-BE49-F238E27FC236}">
              <a16:creationId xmlns:a16="http://schemas.microsoft.com/office/drawing/2014/main" id="{E2283536-76F7-45B0-8C14-C11F58FA5FB5}"/>
            </a:ext>
          </a:extLst>
        </xdr:cNvPr>
        <xdr:cNvCxnSpPr/>
      </xdr:nvCxnSpPr>
      <xdr:spPr>
        <a:xfrm flipV="1">
          <a:off x="16237404" y="8172450"/>
          <a:ext cx="3603513"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95250</xdr:colOff>
      <xdr:row>5</xdr:row>
      <xdr:rowOff>81644</xdr:rowOff>
    </xdr:from>
    <xdr:to>
      <xdr:col>2</xdr:col>
      <xdr:colOff>600075</xdr:colOff>
      <xdr:row>11</xdr:row>
      <xdr:rowOff>45253</xdr:rowOff>
    </xdr:to>
    <xdr:pic>
      <xdr:nvPicPr>
        <xdr:cNvPr id="5" name="Imagen 4">
          <a:extLst>
            <a:ext uri="{FF2B5EF4-FFF2-40B4-BE49-F238E27FC236}">
              <a16:creationId xmlns:a16="http://schemas.microsoft.com/office/drawing/2014/main" id="{AB8EDF83-0DD3-4970-96B1-BE8FBD1E5507}"/>
            </a:ext>
          </a:extLst>
        </xdr:cNvPr>
        <xdr:cNvPicPr>
          <a:picLocks noChangeAspect="1"/>
        </xdr:cNvPicPr>
      </xdr:nvPicPr>
      <xdr:blipFill>
        <a:blip xmlns:r="http://schemas.openxmlformats.org/officeDocument/2006/relationships" r:embed="rId1"/>
        <a:stretch>
          <a:fillRect/>
        </a:stretch>
      </xdr:blipFill>
      <xdr:spPr>
        <a:xfrm>
          <a:off x="857250" y="1034144"/>
          <a:ext cx="1266825" cy="111613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79"/>
  <sheetViews>
    <sheetView tabSelected="1" zoomScale="68" zoomScaleNormal="68" workbookViewId="0">
      <selection activeCell="A83" sqref="A83:L83"/>
    </sheetView>
  </sheetViews>
  <sheetFormatPr baseColWidth="10" defaultColWidth="11.42578125" defaultRowHeight="32.25" customHeight="1"/>
  <cols>
    <col min="1" max="1" width="21.28515625" customWidth="1"/>
    <col min="2" max="2" width="47.140625" customWidth="1"/>
    <col min="3" max="3" width="37.28515625" customWidth="1"/>
    <col min="4" max="4" width="22" style="84" customWidth="1"/>
    <col min="5" max="5" width="39" style="84" customWidth="1"/>
    <col min="6" max="7" width="26" customWidth="1"/>
    <col min="8" max="8" width="25.5703125" customWidth="1"/>
    <col min="9" max="9" width="24.28515625" customWidth="1"/>
    <col min="10" max="10" width="27" customWidth="1"/>
    <col min="11" max="11" width="23" customWidth="1"/>
    <col min="12" max="12" width="23.140625" customWidth="1"/>
    <col min="13" max="13" width="14.5703125" hidden="1" customWidth="1"/>
  </cols>
  <sheetData>
    <row r="1" spans="1:13" ht="19.5" customHeight="1">
      <c r="A1" s="189" t="s">
        <v>365</v>
      </c>
      <c r="B1" s="190"/>
      <c r="C1" s="190"/>
      <c r="D1" s="190"/>
      <c r="E1" s="190"/>
      <c r="F1" s="190"/>
      <c r="G1" s="190"/>
      <c r="H1" s="190"/>
      <c r="I1" s="190"/>
      <c r="J1" s="190"/>
      <c r="K1" s="190"/>
      <c r="L1" s="190"/>
      <c r="M1" s="191"/>
    </row>
    <row r="2" spans="1:13" ht="19.5" customHeight="1">
      <c r="A2" s="192"/>
      <c r="B2" s="193"/>
      <c r="C2" s="193"/>
      <c r="D2" s="193"/>
      <c r="E2" s="193"/>
      <c r="F2" s="193"/>
      <c r="G2" s="193"/>
      <c r="H2" s="193"/>
      <c r="I2" s="193"/>
      <c r="J2" s="193"/>
      <c r="K2" s="193"/>
      <c r="L2" s="193"/>
      <c r="M2" s="194"/>
    </row>
    <row r="3" spans="1:13" ht="22.5" customHeight="1">
      <c r="A3" s="192"/>
      <c r="B3" s="193"/>
      <c r="C3" s="193"/>
      <c r="D3" s="193"/>
      <c r="E3" s="193"/>
      <c r="F3" s="193"/>
      <c r="G3" s="193"/>
      <c r="H3" s="193"/>
      <c r="I3" s="193"/>
      <c r="J3" s="193"/>
      <c r="K3" s="193"/>
      <c r="L3" s="193"/>
      <c r="M3" s="194"/>
    </row>
    <row r="4" spans="1:13" ht="16.5" customHeight="1">
      <c r="A4" s="192"/>
      <c r="B4" s="193"/>
      <c r="C4" s="193"/>
      <c r="D4" s="193"/>
      <c r="E4" s="193"/>
      <c r="F4" s="193"/>
      <c r="G4" s="193"/>
      <c r="H4" s="193"/>
      <c r="I4" s="193"/>
      <c r="J4" s="193"/>
      <c r="K4" s="193"/>
      <c r="L4" s="193"/>
      <c r="M4" s="194"/>
    </row>
    <row r="5" spans="1:13" ht="19.5" customHeight="1">
      <c r="A5" s="192"/>
      <c r="B5" s="193"/>
      <c r="C5" s="193"/>
      <c r="D5" s="193"/>
      <c r="E5" s="193"/>
      <c r="F5" s="193"/>
      <c r="G5" s="193"/>
      <c r="H5" s="193"/>
      <c r="I5" s="193"/>
      <c r="J5" s="193"/>
      <c r="K5" s="193"/>
      <c r="L5" s="193"/>
      <c r="M5" s="194"/>
    </row>
    <row r="6" spans="1:13" ht="16.5" customHeight="1">
      <c r="A6" s="192"/>
      <c r="B6" s="193"/>
      <c r="C6" s="193"/>
      <c r="D6" s="193"/>
      <c r="E6" s="193"/>
      <c r="F6" s="193"/>
      <c r="G6" s="193"/>
      <c r="H6" s="193"/>
      <c r="I6" s="193"/>
      <c r="J6" s="193"/>
      <c r="K6" s="193"/>
      <c r="L6" s="193"/>
      <c r="M6" s="194"/>
    </row>
    <row r="7" spans="1:13" ht="32.25" customHeight="1">
      <c r="A7" s="28" t="s">
        <v>0</v>
      </c>
      <c r="B7" s="29" t="s">
        <v>1</v>
      </c>
      <c r="C7" s="29" t="s">
        <v>2</v>
      </c>
      <c r="D7" s="28" t="s">
        <v>3</v>
      </c>
      <c r="E7" s="28" t="s">
        <v>4</v>
      </c>
      <c r="F7" s="28" t="s">
        <v>5</v>
      </c>
      <c r="G7" s="28" t="s">
        <v>6</v>
      </c>
      <c r="H7" s="28" t="s">
        <v>7</v>
      </c>
      <c r="I7" s="28" t="s">
        <v>8</v>
      </c>
      <c r="J7" s="28" t="s">
        <v>9</v>
      </c>
      <c r="K7" s="28"/>
      <c r="L7" s="28"/>
      <c r="M7" s="5"/>
    </row>
    <row r="8" spans="1:13" ht="32.25" customHeight="1">
      <c r="A8" s="195" t="s">
        <v>10</v>
      </c>
      <c r="B8" s="195"/>
      <c r="C8" s="195"/>
      <c r="D8" s="195"/>
      <c r="E8" s="195"/>
      <c r="F8" s="195"/>
      <c r="G8" s="195"/>
      <c r="H8" s="195"/>
      <c r="I8" s="195"/>
      <c r="J8" s="195"/>
      <c r="K8" s="195"/>
      <c r="L8" s="195"/>
      <c r="M8" s="5"/>
    </row>
    <row r="9" spans="1:13" ht="32.25" customHeight="1">
      <c r="A9" s="28" t="s">
        <v>11</v>
      </c>
      <c r="B9" s="29" t="s">
        <v>12</v>
      </c>
      <c r="C9" s="29" t="s">
        <v>13</v>
      </c>
      <c r="D9" s="28" t="s">
        <v>14</v>
      </c>
      <c r="E9" s="28" t="s">
        <v>15</v>
      </c>
      <c r="F9" s="28" t="s">
        <v>16</v>
      </c>
      <c r="G9" s="28" t="s">
        <v>17</v>
      </c>
      <c r="H9" s="28" t="s">
        <v>18</v>
      </c>
      <c r="I9" s="28" t="s">
        <v>19</v>
      </c>
      <c r="J9" s="28" t="s">
        <v>20</v>
      </c>
      <c r="K9" s="28" t="s">
        <v>21</v>
      </c>
      <c r="L9" s="28" t="s">
        <v>22</v>
      </c>
      <c r="M9" s="5"/>
    </row>
    <row r="10" spans="1:13" ht="32.25" customHeight="1">
      <c r="A10" s="30">
        <v>1</v>
      </c>
      <c r="B10" s="31" t="s">
        <v>23</v>
      </c>
      <c r="C10" s="31" t="s">
        <v>24</v>
      </c>
      <c r="D10" s="32" t="s">
        <v>25</v>
      </c>
      <c r="E10" s="32" t="s">
        <v>26</v>
      </c>
      <c r="F10" s="33">
        <v>70000</v>
      </c>
      <c r="G10" s="33">
        <v>2009</v>
      </c>
      <c r="H10" s="33">
        <v>5368.45</v>
      </c>
      <c r="I10" s="33">
        <v>2128</v>
      </c>
      <c r="J10" s="33">
        <v>125</v>
      </c>
      <c r="K10" s="33">
        <f t="shared" ref="K10:K20" si="0">G10+H10+I10+J10</f>
        <v>9630.4500000000007</v>
      </c>
      <c r="L10" s="33">
        <f t="shared" ref="L10:L20" si="1">F10-K10</f>
        <v>60369.55</v>
      </c>
      <c r="M10" s="5"/>
    </row>
    <row r="11" spans="1:13" ht="32.25" customHeight="1">
      <c r="A11" s="30">
        <v>2</v>
      </c>
      <c r="B11" s="31" t="s">
        <v>27</v>
      </c>
      <c r="C11" s="31" t="s">
        <v>28</v>
      </c>
      <c r="D11" s="32" t="s">
        <v>29</v>
      </c>
      <c r="E11" s="32" t="s">
        <v>30</v>
      </c>
      <c r="F11" s="33">
        <v>245000</v>
      </c>
      <c r="G11" s="33">
        <v>7031.5</v>
      </c>
      <c r="H11" s="33">
        <v>45998.91</v>
      </c>
      <c r="I11" s="33">
        <v>6589.14</v>
      </c>
      <c r="J11" s="33">
        <v>1740.46</v>
      </c>
      <c r="K11" s="33">
        <f t="shared" si="0"/>
        <v>61360.01</v>
      </c>
      <c r="L11" s="33">
        <f t="shared" si="1"/>
        <v>183639.99</v>
      </c>
      <c r="M11" s="5"/>
    </row>
    <row r="12" spans="1:13" ht="32.25" customHeight="1">
      <c r="A12" s="30">
        <v>3</v>
      </c>
      <c r="B12" s="31" t="s">
        <v>31</v>
      </c>
      <c r="C12" s="31" t="s">
        <v>32</v>
      </c>
      <c r="D12" s="32" t="s">
        <v>25</v>
      </c>
      <c r="E12" s="32" t="s">
        <v>30</v>
      </c>
      <c r="F12" s="33">
        <v>180000</v>
      </c>
      <c r="G12" s="33">
        <v>5166</v>
      </c>
      <c r="H12" s="33">
        <v>30923.439999999999</v>
      </c>
      <c r="I12" s="33">
        <v>5472</v>
      </c>
      <c r="J12" s="33">
        <v>30137.23</v>
      </c>
      <c r="K12" s="33">
        <f t="shared" si="0"/>
        <v>71698.67</v>
      </c>
      <c r="L12" s="33">
        <f t="shared" si="1"/>
        <v>108301.33</v>
      </c>
      <c r="M12" s="5"/>
    </row>
    <row r="13" spans="1:13" ht="32.25" customHeight="1">
      <c r="A13" s="30">
        <v>4</v>
      </c>
      <c r="B13" s="31" t="s">
        <v>33</v>
      </c>
      <c r="C13" s="31" t="s">
        <v>34</v>
      </c>
      <c r="D13" s="32" t="s">
        <v>29</v>
      </c>
      <c r="E13" s="32" t="s">
        <v>30</v>
      </c>
      <c r="F13" s="33">
        <v>180000</v>
      </c>
      <c r="G13" s="33">
        <v>5166</v>
      </c>
      <c r="H13" s="33">
        <v>30494.57</v>
      </c>
      <c r="I13" s="33">
        <v>5472</v>
      </c>
      <c r="J13" s="33">
        <v>16457.939999999999</v>
      </c>
      <c r="K13" s="33">
        <f t="shared" si="0"/>
        <v>57590.509999999995</v>
      </c>
      <c r="L13" s="33">
        <f t="shared" si="1"/>
        <v>122409.49</v>
      </c>
      <c r="M13" s="5"/>
    </row>
    <row r="14" spans="1:13" ht="32.25" customHeight="1">
      <c r="A14" s="30">
        <v>5</v>
      </c>
      <c r="B14" s="31" t="s">
        <v>35</v>
      </c>
      <c r="C14" s="31" t="s">
        <v>36</v>
      </c>
      <c r="D14" s="32" t="s">
        <v>29</v>
      </c>
      <c r="E14" s="32" t="s">
        <v>37</v>
      </c>
      <c r="F14" s="33">
        <v>150000</v>
      </c>
      <c r="G14" s="33">
        <v>4305</v>
      </c>
      <c r="H14" s="33">
        <v>23437.82</v>
      </c>
      <c r="I14" s="33">
        <v>4560</v>
      </c>
      <c r="J14" s="33">
        <v>1740.46</v>
      </c>
      <c r="K14" s="33">
        <f t="shared" si="0"/>
        <v>34043.279999999999</v>
      </c>
      <c r="L14" s="33">
        <f t="shared" si="1"/>
        <v>115956.72</v>
      </c>
      <c r="M14" s="5"/>
    </row>
    <row r="15" spans="1:13" ht="32.25" customHeight="1">
      <c r="A15" s="30">
        <v>6</v>
      </c>
      <c r="B15" s="31" t="s">
        <v>38</v>
      </c>
      <c r="C15" s="31" t="s">
        <v>32</v>
      </c>
      <c r="D15" s="32" t="s">
        <v>25</v>
      </c>
      <c r="E15" s="32" t="s">
        <v>30</v>
      </c>
      <c r="F15" s="34">
        <v>180000</v>
      </c>
      <c r="G15" s="33">
        <v>5166</v>
      </c>
      <c r="H15" s="33">
        <v>30923.439999999999</v>
      </c>
      <c r="I15" s="33">
        <v>5472</v>
      </c>
      <c r="J15" s="34">
        <v>10531.51</v>
      </c>
      <c r="K15" s="34">
        <f t="shared" si="0"/>
        <v>52092.950000000004</v>
      </c>
      <c r="L15" s="34">
        <f t="shared" si="1"/>
        <v>127907.04999999999</v>
      </c>
      <c r="M15" s="5"/>
    </row>
    <row r="16" spans="1:13" ht="32.25" customHeight="1">
      <c r="A16" s="30">
        <v>7</v>
      </c>
      <c r="B16" s="31" t="s">
        <v>39</v>
      </c>
      <c r="C16" s="31" t="s">
        <v>40</v>
      </c>
      <c r="D16" s="32" t="s">
        <v>25</v>
      </c>
      <c r="E16" s="35" t="s">
        <v>41</v>
      </c>
      <c r="F16" s="33">
        <v>70000</v>
      </c>
      <c r="G16" s="33">
        <v>2009</v>
      </c>
      <c r="H16" s="33">
        <v>5025.3599999999997</v>
      </c>
      <c r="I16" s="33">
        <v>2128</v>
      </c>
      <c r="J16" s="33">
        <v>1740.46</v>
      </c>
      <c r="K16" s="33">
        <f t="shared" si="0"/>
        <v>10902.82</v>
      </c>
      <c r="L16" s="34">
        <f t="shared" si="1"/>
        <v>59097.18</v>
      </c>
      <c r="M16" s="5"/>
    </row>
    <row r="17" spans="1:13" ht="32.25" customHeight="1">
      <c r="A17" s="30">
        <v>8</v>
      </c>
      <c r="B17" s="36" t="s">
        <v>42</v>
      </c>
      <c r="C17" s="36" t="s">
        <v>43</v>
      </c>
      <c r="D17" s="32" t="s">
        <v>25</v>
      </c>
      <c r="E17" s="35" t="s">
        <v>41</v>
      </c>
      <c r="F17" s="33">
        <v>80000</v>
      </c>
      <c r="G17" s="33">
        <v>2296</v>
      </c>
      <c r="H17" s="33">
        <v>7400.94</v>
      </c>
      <c r="I17" s="33">
        <v>2432</v>
      </c>
      <c r="J17" s="33">
        <v>25</v>
      </c>
      <c r="K17" s="33">
        <f t="shared" si="0"/>
        <v>12153.939999999999</v>
      </c>
      <c r="L17" s="33">
        <f t="shared" si="1"/>
        <v>67846.06</v>
      </c>
      <c r="M17" s="5"/>
    </row>
    <row r="18" spans="1:13" ht="32.25" customHeight="1">
      <c r="A18" s="30">
        <v>9</v>
      </c>
      <c r="B18" s="36" t="s">
        <v>44</v>
      </c>
      <c r="C18" s="36" t="s">
        <v>45</v>
      </c>
      <c r="D18" s="32" t="s">
        <v>29</v>
      </c>
      <c r="E18" s="35" t="s">
        <v>41</v>
      </c>
      <c r="F18" s="33">
        <v>40000</v>
      </c>
      <c r="G18" s="33">
        <v>1148</v>
      </c>
      <c r="H18" s="33">
        <v>442.65</v>
      </c>
      <c r="I18" s="33">
        <v>1216</v>
      </c>
      <c r="J18" s="33">
        <v>225</v>
      </c>
      <c r="K18" s="33">
        <f t="shared" si="0"/>
        <v>3031.65</v>
      </c>
      <c r="L18" s="33">
        <f t="shared" si="1"/>
        <v>36968.35</v>
      </c>
      <c r="M18" s="5"/>
    </row>
    <row r="19" spans="1:13" ht="32.25" customHeight="1">
      <c r="A19" s="30">
        <v>10</v>
      </c>
      <c r="B19" s="36" t="s">
        <v>46</v>
      </c>
      <c r="C19" s="36" t="s">
        <v>24</v>
      </c>
      <c r="D19" s="32" t="s">
        <v>25</v>
      </c>
      <c r="E19" s="35" t="s">
        <v>37</v>
      </c>
      <c r="F19" s="33">
        <v>80000</v>
      </c>
      <c r="G19" s="33">
        <v>2296</v>
      </c>
      <c r="H19" s="33">
        <v>7400.94</v>
      </c>
      <c r="I19" s="33">
        <v>2432</v>
      </c>
      <c r="J19" s="33">
        <v>25</v>
      </c>
      <c r="K19" s="33">
        <f t="shared" si="0"/>
        <v>12153.939999999999</v>
      </c>
      <c r="L19" s="33">
        <f t="shared" si="1"/>
        <v>67846.06</v>
      </c>
      <c r="M19" s="5"/>
    </row>
    <row r="20" spans="1:13" ht="32.25" customHeight="1">
      <c r="A20" s="30">
        <v>11</v>
      </c>
      <c r="B20" s="37" t="s">
        <v>47</v>
      </c>
      <c r="C20" s="31" t="s">
        <v>48</v>
      </c>
      <c r="D20" s="32" t="s">
        <v>25</v>
      </c>
      <c r="E20" s="32" t="s">
        <v>41</v>
      </c>
      <c r="F20" s="34">
        <v>22000</v>
      </c>
      <c r="G20" s="34">
        <v>631.4</v>
      </c>
      <c r="H20" s="34">
        <v>0</v>
      </c>
      <c r="I20" s="34">
        <v>668.8</v>
      </c>
      <c r="J20" s="34">
        <v>8520.69</v>
      </c>
      <c r="K20" s="34">
        <f t="shared" si="0"/>
        <v>9820.89</v>
      </c>
      <c r="L20" s="6">
        <f t="shared" si="1"/>
        <v>12179.11</v>
      </c>
      <c r="M20" s="5"/>
    </row>
    <row r="21" spans="1:13" ht="32.25" customHeight="1">
      <c r="A21" s="7" t="s">
        <v>49</v>
      </c>
      <c r="B21" s="8"/>
      <c r="C21" s="8"/>
      <c r="D21" s="32"/>
      <c r="E21" s="7"/>
      <c r="F21" s="38">
        <f ca="1">SUM(F10:F294)</f>
        <v>1297000</v>
      </c>
      <c r="G21" s="38">
        <f ca="1">SUM(G10:G294)</f>
        <v>37223.9</v>
      </c>
      <c r="H21" s="38">
        <f>SUM(H10:H20)</f>
        <v>187416.52</v>
      </c>
      <c r="I21" s="38">
        <f>SUM(I10:I20)</f>
        <v>38569.94</v>
      </c>
      <c r="J21" s="38">
        <f>SUM(J10:J20)</f>
        <v>71268.75</v>
      </c>
      <c r="K21" s="38">
        <f>SUM(K10:K20)</f>
        <v>334479.11000000004</v>
      </c>
      <c r="L21" s="38">
        <f>SUM(L10:L20)</f>
        <v>962520.88999999978</v>
      </c>
      <c r="M21" s="5"/>
    </row>
    <row r="22" spans="1:13" ht="32.25" customHeight="1">
      <c r="A22" s="196" t="s">
        <v>50</v>
      </c>
      <c r="B22" s="196"/>
      <c r="C22" s="196"/>
      <c r="D22" s="196"/>
      <c r="E22" s="196"/>
      <c r="F22" s="196"/>
      <c r="G22" s="196"/>
      <c r="H22" s="196"/>
      <c r="I22" s="196"/>
      <c r="J22" s="196"/>
      <c r="K22" s="196"/>
      <c r="L22" s="196"/>
      <c r="M22" s="5"/>
    </row>
    <row r="23" spans="1:13" ht="32.25" customHeight="1">
      <c r="A23" s="28" t="s">
        <v>11</v>
      </c>
      <c r="B23" s="29" t="s">
        <v>12</v>
      </c>
      <c r="C23" s="29" t="s">
        <v>13</v>
      </c>
      <c r="D23" s="28" t="s">
        <v>14</v>
      </c>
      <c r="E23" s="29" t="s">
        <v>15</v>
      </c>
      <c r="F23" s="28" t="s">
        <v>16</v>
      </c>
      <c r="G23" s="28" t="s">
        <v>17</v>
      </c>
      <c r="H23" s="28" t="s">
        <v>18</v>
      </c>
      <c r="I23" s="28" t="s">
        <v>19</v>
      </c>
      <c r="J23" s="28" t="s">
        <v>20</v>
      </c>
      <c r="K23" s="28" t="s">
        <v>21</v>
      </c>
      <c r="L23" s="28" t="s">
        <v>22</v>
      </c>
      <c r="M23" s="5"/>
    </row>
    <row r="24" spans="1:13" ht="32.25" customHeight="1">
      <c r="A24" s="30">
        <v>12</v>
      </c>
      <c r="B24" s="31" t="s">
        <v>51</v>
      </c>
      <c r="C24" s="31" t="s">
        <v>52</v>
      </c>
      <c r="D24" s="32" t="s">
        <v>25</v>
      </c>
      <c r="E24" s="32" t="s">
        <v>26</v>
      </c>
      <c r="F24" s="33">
        <f>49000+33500</f>
        <v>82500</v>
      </c>
      <c r="G24" s="33">
        <f>961.45+1406.3</f>
        <v>2367.75</v>
      </c>
      <c r="H24" s="33">
        <v>7989</v>
      </c>
      <c r="I24" s="33">
        <v>2508</v>
      </c>
      <c r="J24" s="39">
        <v>34113</v>
      </c>
      <c r="K24" s="39">
        <f>G24+H24+I24+J24</f>
        <v>46977.75</v>
      </c>
      <c r="L24" s="39">
        <f>F24-K24</f>
        <v>35522.25</v>
      </c>
      <c r="M24" s="5"/>
    </row>
    <row r="25" spans="1:13" ht="32.25" customHeight="1">
      <c r="A25" s="7" t="s">
        <v>49</v>
      </c>
      <c r="B25" s="40"/>
      <c r="C25" s="40"/>
      <c r="D25" s="41"/>
      <c r="E25" s="42"/>
      <c r="F25" s="38">
        <f>+F24</f>
        <v>82500</v>
      </c>
      <c r="G25" s="38">
        <f>SUM(G24)</f>
        <v>2367.75</v>
      </c>
      <c r="H25" s="38">
        <f>SUM(H24)</f>
        <v>7989</v>
      </c>
      <c r="I25" s="38">
        <f>SUM(I24)</f>
        <v>2508</v>
      </c>
      <c r="J25" s="43">
        <f>SUM(J24)</f>
        <v>34113</v>
      </c>
      <c r="K25" s="43">
        <f>SUM(K24)</f>
        <v>46977.75</v>
      </c>
      <c r="L25" s="88">
        <f>F25-K25</f>
        <v>35522.25</v>
      </c>
      <c r="M25" s="5"/>
    </row>
    <row r="26" spans="1:13" ht="32.25" customHeight="1">
      <c r="A26" s="188" t="s">
        <v>53</v>
      </c>
      <c r="B26" s="188"/>
      <c r="C26" s="188"/>
      <c r="D26" s="188"/>
      <c r="E26" s="188"/>
      <c r="F26" s="188"/>
      <c r="G26" s="188"/>
      <c r="H26" s="188"/>
      <c r="I26" s="188"/>
      <c r="J26" s="188"/>
      <c r="K26" s="188"/>
      <c r="L26" s="188"/>
      <c r="M26" s="5"/>
    </row>
    <row r="27" spans="1:13" ht="32.25" customHeight="1">
      <c r="A27" s="28" t="s">
        <v>11</v>
      </c>
      <c r="B27" s="29" t="s">
        <v>12</v>
      </c>
      <c r="C27" s="29" t="s">
        <v>13</v>
      </c>
      <c r="D27" s="28" t="s">
        <v>14</v>
      </c>
      <c r="E27" s="29" t="s">
        <v>15</v>
      </c>
      <c r="F27" s="28" t="s">
        <v>16</v>
      </c>
      <c r="G27" s="28" t="s">
        <v>17</v>
      </c>
      <c r="H27" s="28" t="s">
        <v>18</v>
      </c>
      <c r="I27" s="28" t="s">
        <v>19</v>
      </c>
      <c r="J27" s="28" t="s">
        <v>20</v>
      </c>
      <c r="K27" s="28" t="s">
        <v>21</v>
      </c>
      <c r="L27" s="28" t="s">
        <v>22</v>
      </c>
      <c r="M27" s="5"/>
    </row>
    <row r="28" spans="1:13" ht="32.25" customHeight="1">
      <c r="A28" s="30">
        <v>13</v>
      </c>
      <c r="B28" s="31" t="s">
        <v>54</v>
      </c>
      <c r="C28" s="31" t="s">
        <v>55</v>
      </c>
      <c r="D28" s="44" t="s">
        <v>29</v>
      </c>
      <c r="E28" s="32" t="s">
        <v>26</v>
      </c>
      <c r="F28" s="34">
        <v>50000</v>
      </c>
      <c r="G28" s="34">
        <v>1435</v>
      </c>
      <c r="H28" s="34">
        <v>1854</v>
      </c>
      <c r="I28" s="34">
        <v>1520</v>
      </c>
      <c r="J28" s="34">
        <v>4470.26</v>
      </c>
      <c r="K28" s="34">
        <f>G28+H28+I28+J28</f>
        <v>9279.26</v>
      </c>
      <c r="L28" s="34">
        <f>F28-K28</f>
        <v>40720.74</v>
      </c>
      <c r="M28" s="5"/>
    </row>
    <row r="29" spans="1:13" ht="32.25" customHeight="1">
      <c r="A29" s="30">
        <v>14</v>
      </c>
      <c r="B29" s="31" t="s">
        <v>56</v>
      </c>
      <c r="C29" s="31" t="s">
        <v>57</v>
      </c>
      <c r="D29" s="32" t="s">
        <v>25</v>
      </c>
      <c r="E29" s="32" t="s">
        <v>26</v>
      </c>
      <c r="F29" s="33">
        <v>60000</v>
      </c>
      <c r="G29" s="33">
        <v>1722</v>
      </c>
      <c r="H29" s="33">
        <v>3486.65</v>
      </c>
      <c r="I29" s="34">
        <v>1824</v>
      </c>
      <c r="J29" s="33">
        <v>145</v>
      </c>
      <c r="K29" s="34">
        <f>G29+H29+I29+J29</f>
        <v>7177.65</v>
      </c>
      <c r="L29" s="33">
        <f>F29-K29</f>
        <v>52822.35</v>
      </c>
      <c r="M29" s="5"/>
    </row>
    <row r="30" spans="1:13" ht="32.25" customHeight="1">
      <c r="A30" s="30">
        <v>15</v>
      </c>
      <c r="B30" s="31" t="s">
        <v>58</v>
      </c>
      <c r="C30" s="31" t="s">
        <v>57</v>
      </c>
      <c r="D30" s="44" t="s">
        <v>25</v>
      </c>
      <c r="E30" s="32" t="s">
        <v>41</v>
      </c>
      <c r="F30" s="34">
        <v>100000</v>
      </c>
      <c r="G30" s="34">
        <v>2870</v>
      </c>
      <c r="H30" s="34">
        <v>11247.71</v>
      </c>
      <c r="I30" s="34">
        <v>3040</v>
      </c>
      <c r="J30" s="34">
        <v>3655.92</v>
      </c>
      <c r="K30" s="34">
        <f>G30+H30+I30+J30</f>
        <v>20813.629999999997</v>
      </c>
      <c r="L30" s="34">
        <f>F30-K30</f>
        <v>79186.37</v>
      </c>
      <c r="M30" s="5"/>
    </row>
    <row r="31" spans="1:13" ht="32.25" customHeight="1">
      <c r="A31" s="30">
        <v>16</v>
      </c>
      <c r="B31" s="31" t="s">
        <v>59</v>
      </c>
      <c r="C31" s="31" t="s">
        <v>60</v>
      </c>
      <c r="D31" s="44" t="s">
        <v>25</v>
      </c>
      <c r="E31" s="32" t="s">
        <v>41</v>
      </c>
      <c r="F31" s="34">
        <v>45000</v>
      </c>
      <c r="G31" s="34">
        <v>1291.5</v>
      </c>
      <c r="H31" s="34">
        <v>1148.32</v>
      </c>
      <c r="I31" s="34">
        <v>1368</v>
      </c>
      <c r="J31" s="34">
        <v>25</v>
      </c>
      <c r="K31" s="34">
        <f>G31+H31+I31+J31</f>
        <v>3832.8199999999997</v>
      </c>
      <c r="L31" s="34">
        <f>F31-K31</f>
        <v>41167.18</v>
      </c>
      <c r="M31" s="5"/>
    </row>
    <row r="32" spans="1:13" ht="32.25" customHeight="1">
      <c r="A32" s="32">
        <v>17</v>
      </c>
      <c r="B32" s="31" t="s">
        <v>61</v>
      </c>
      <c r="C32" s="36" t="s">
        <v>62</v>
      </c>
      <c r="D32" s="44" t="s">
        <v>29</v>
      </c>
      <c r="E32" s="32" t="s">
        <v>41</v>
      </c>
      <c r="F32" s="45">
        <f>35000+20000</f>
        <v>55000</v>
      </c>
      <c r="G32" s="45">
        <f>574+1004.5</f>
        <v>1578.5</v>
      </c>
      <c r="H32" s="45">
        <f>2559.67+0</f>
        <v>2559.67</v>
      </c>
      <c r="I32" s="45">
        <f>1064+608</f>
        <v>1672</v>
      </c>
      <c r="J32" s="45">
        <v>725</v>
      </c>
      <c r="K32" s="45">
        <f>G32+H32+I32+J32</f>
        <v>6535.17</v>
      </c>
      <c r="L32" s="45">
        <f>F32-K32</f>
        <v>48464.83</v>
      </c>
      <c r="M32" s="5"/>
    </row>
    <row r="33" spans="1:13" ht="32.25" customHeight="1">
      <c r="A33" s="7" t="s">
        <v>49</v>
      </c>
      <c r="B33" s="8"/>
      <c r="C33" s="8"/>
      <c r="D33" s="9"/>
      <c r="E33" s="7"/>
      <c r="F33" s="38">
        <f t="shared" ref="F33:L33" si="2">SUM(F28:F32)</f>
        <v>310000</v>
      </c>
      <c r="G33" s="38">
        <f t="shared" si="2"/>
        <v>8897</v>
      </c>
      <c r="H33" s="38">
        <f t="shared" si="2"/>
        <v>20296.349999999999</v>
      </c>
      <c r="I33" s="38">
        <f t="shared" si="2"/>
        <v>9424</v>
      </c>
      <c r="J33" s="38">
        <f t="shared" si="2"/>
        <v>9021.18</v>
      </c>
      <c r="K33" s="38">
        <f>SUM(K28:K32)</f>
        <v>47638.529999999992</v>
      </c>
      <c r="L33" s="38">
        <f t="shared" si="2"/>
        <v>262361.46999999997</v>
      </c>
      <c r="M33" s="5"/>
    </row>
    <row r="34" spans="1:13" ht="32.25" customHeight="1">
      <c r="A34" s="184" t="s">
        <v>63</v>
      </c>
      <c r="B34" s="184"/>
      <c r="C34" s="184"/>
      <c r="D34" s="184"/>
      <c r="E34" s="184"/>
      <c r="F34" s="184"/>
      <c r="G34" s="184"/>
      <c r="H34" s="184"/>
      <c r="I34" s="184"/>
      <c r="J34" s="184"/>
      <c r="K34" s="184"/>
      <c r="L34" s="184"/>
      <c r="M34" s="5"/>
    </row>
    <row r="35" spans="1:13" ht="32.25" customHeight="1">
      <c r="A35" s="28" t="s">
        <v>11</v>
      </c>
      <c r="B35" s="29" t="s">
        <v>12</v>
      </c>
      <c r="C35" s="29" t="s">
        <v>13</v>
      </c>
      <c r="D35" s="28" t="s">
        <v>14</v>
      </c>
      <c r="E35" s="29" t="s">
        <v>15</v>
      </c>
      <c r="F35" s="28" t="s">
        <v>16</v>
      </c>
      <c r="G35" s="28" t="s">
        <v>17</v>
      </c>
      <c r="H35" s="28" t="s">
        <v>18</v>
      </c>
      <c r="I35" s="28" t="s">
        <v>19</v>
      </c>
      <c r="J35" s="28" t="s">
        <v>20</v>
      </c>
      <c r="K35" s="28" t="s">
        <v>21</v>
      </c>
      <c r="L35" s="28" t="s">
        <v>22</v>
      </c>
      <c r="M35" s="5"/>
    </row>
    <row r="36" spans="1:13" ht="32.25" customHeight="1">
      <c r="A36" s="30">
        <v>18</v>
      </c>
      <c r="B36" s="37" t="s">
        <v>64</v>
      </c>
      <c r="C36" s="31" t="s">
        <v>65</v>
      </c>
      <c r="D36" s="44" t="s">
        <v>25</v>
      </c>
      <c r="E36" s="32" t="s">
        <v>26</v>
      </c>
      <c r="F36" s="34">
        <v>122500</v>
      </c>
      <c r="G36" s="34">
        <v>3515.75</v>
      </c>
      <c r="H36" s="34">
        <v>16969.13</v>
      </c>
      <c r="I36" s="34">
        <v>3724</v>
      </c>
      <c r="J36" s="34">
        <v>13435.34</v>
      </c>
      <c r="K36" s="34">
        <f>G36+H36+I36+J36</f>
        <v>37644.22</v>
      </c>
      <c r="L36" s="34">
        <f>F36-K36</f>
        <v>84855.78</v>
      </c>
      <c r="M36" s="5"/>
    </row>
    <row r="37" spans="1:13" ht="32.25" customHeight="1">
      <c r="A37" s="30">
        <v>19</v>
      </c>
      <c r="B37" s="31" t="s">
        <v>66</v>
      </c>
      <c r="C37" s="31" t="s">
        <v>67</v>
      </c>
      <c r="D37" s="44" t="s">
        <v>29</v>
      </c>
      <c r="E37" s="32" t="s">
        <v>26</v>
      </c>
      <c r="F37" s="34">
        <v>60000</v>
      </c>
      <c r="G37" s="34">
        <v>1722</v>
      </c>
      <c r="H37" s="34">
        <v>3143.56</v>
      </c>
      <c r="I37" s="34">
        <v>1824</v>
      </c>
      <c r="J37" s="34">
        <v>3469.46</v>
      </c>
      <c r="K37" s="34">
        <f>G37+H37+I37+J37</f>
        <v>10159.02</v>
      </c>
      <c r="L37" s="34">
        <f>F37-K37</f>
        <v>49840.979999999996</v>
      </c>
      <c r="M37" s="5"/>
    </row>
    <row r="38" spans="1:13" ht="32.25" customHeight="1">
      <c r="A38" s="30">
        <v>20</v>
      </c>
      <c r="B38" s="31" t="s">
        <v>68</v>
      </c>
      <c r="C38" s="36" t="s">
        <v>69</v>
      </c>
      <c r="D38" s="44" t="s">
        <v>25</v>
      </c>
      <c r="E38" s="32" t="s">
        <v>41</v>
      </c>
      <c r="F38" s="34">
        <v>37000</v>
      </c>
      <c r="G38" s="34">
        <v>1061.9000000000001</v>
      </c>
      <c r="H38" s="34">
        <v>0</v>
      </c>
      <c r="I38" s="34">
        <v>1124.8</v>
      </c>
      <c r="J38" s="34">
        <v>7516.08</v>
      </c>
      <c r="K38" s="34">
        <f>G38+H38+I38+J38</f>
        <v>9702.7799999999988</v>
      </c>
      <c r="L38" s="34">
        <f>F38-K38</f>
        <v>27297.22</v>
      </c>
      <c r="M38" s="5"/>
    </row>
    <row r="39" spans="1:13" ht="32.25" customHeight="1">
      <c r="A39" s="7" t="s">
        <v>49</v>
      </c>
      <c r="B39" s="10"/>
      <c r="C39" s="10"/>
      <c r="D39" s="9"/>
      <c r="E39" s="7"/>
      <c r="F39" s="38">
        <f>SUM(F36:F38)</f>
        <v>219500</v>
      </c>
      <c r="G39" s="38">
        <f>+SUM(G36:G38)</f>
        <v>6299.65</v>
      </c>
      <c r="H39" s="38">
        <f>SUM(H36:H38)</f>
        <v>20112.690000000002</v>
      </c>
      <c r="I39" s="38">
        <f>+SUM(I36:I38)</f>
        <v>6672.8</v>
      </c>
      <c r="J39" s="38">
        <f>SUM(J36:J38)</f>
        <v>24420.879999999997</v>
      </c>
      <c r="K39" s="38">
        <f>SUM(K36:K38)</f>
        <v>57506.020000000004</v>
      </c>
      <c r="L39" s="38">
        <f>SUM(L36:L38)</f>
        <v>161993.98000000001</v>
      </c>
      <c r="M39" s="5"/>
    </row>
    <row r="40" spans="1:13" ht="32.25" customHeight="1">
      <c r="A40" s="184" t="s">
        <v>70</v>
      </c>
      <c r="B40" s="184"/>
      <c r="C40" s="184"/>
      <c r="D40" s="184"/>
      <c r="E40" s="184"/>
      <c r="F40" s="184"/>
      <c r="G40" s="184"/>
      <c r="H40" s="184"/>
      <c r="I40" s="184"/>
      <c r="J40" s="184"/>
      <c r="K40" s="184"/>
      <c r="L40" s="184"/>
      <c r="M40" s="5"/>
    </row>
    <row r="41" spans="1:13" ht="32.25" customHeight="1">
      <c r="A41" s="28" t="s">
        <v>11</v>
      </c>
      <c r="B41" s="29" t="s">
        <v>12</v>
      </c>
      <c r="C41" s="29" t="s">
        <v>13</v>
      </c>
      <c r="D41" s="28" t="s">
        <v>14</v>
      </c>
      <c r="E41" s="29" t="s">
        <v>15</v>
      </c>
      <c r="F41" s="28" t="s">
        <v>16</v>
      </c>
      <c r="G41" s="28" t="s">
        <v>17</v>
      </c>
      <c r="H41" s="28" t="s">
        <v>18</v>
      </c>
      <c r="I41" s="28" t="s">
        <v>19</v>
      </c>
      <c r="J41" s="28" t="s">
        <v>20</v>
      </c>
      <c r="K41" s="28" t="s">
        <v>21</v>
      </c>
      <c r="L41" s="28" t="s">
        <v>22</v>
      </c>
      <c r="M41" s="5"/>
    </row>
    <row r="42" spans="1:13" ht="32.25" customHeight="1">
      <c r="A42" s="44">
        <v>21</v>
      </c>
      <c r="B42" s="31" t="s">
        <v>71</v>
      </c>
      <c r="C42" s="31" t="s">
        <v>72</v>
      </c>
      <c r="D42" s="44" t="s">
        <v>25</v>
      </c>
      <c r="E42" s="32" t="s">
        <v>26</v>
      </c>
      <c r="F42" s="34">
        <v>100000</v>
      </c>
      <c r="G42" s="34">
        <v>2870</v>
      </c>
      <c r="H42" s="34">
        <v>12105.44</v>
      </c>
      <c r="I42" s="34">
        <v>3040</v>
      </c>
      <c r="J42" s="34">
        <v>28745.11</v>
      </c>
      <c r="K42" s="34">
        <f t="shared" ref="K42:K48" si="3">G42+H42+I42+J42</f>
        <v>46760.55</v>
      </c>
      <c r="L42" s="34">
        <f t="shared" ref="L42:L48" si="4">F42-K42</f>
        <v>53239.45</v>
      </c>
      <c r="M42" s="5"/>
    </row>
    <row r="43" spans="1:13" ht="32.25" customHeight="1">
      <c r="A43" s="44">
        <v>22</v>
      </c>
      <c r="B43" s="31" t="s">
        <v>73</v>
      </c>
      <c r="C43" s="31" t="s">
        <v>74</v>
      </c>
      <c r="D43" s="44" t="s">
        <v>25</v>
      </c>
      <c r="E43" s="32" t="s">
        <v>75</v>
      </c>
      <c r="F43" s="34">
        <v>122500</v>
      </c>
      <c r="G43" s="34">
        <v>3515.75</v>
      </c>
      <c r="H43" s="34">
        <v>16540.27</v>
      </c>
      <c r="I43" s="34">
        <v>3724</v>
      </c>
      <c r="J43" s="34">
        <v>49849.11</v>
      </c>
      <c r="K43" s="34">
        <f t="shared" si="3"/>
        <v>73629.13</v>
      </c>
      <c r="L43" s="34">
        <f t="shared" si="4"/>
        <v>48870.869999999995</v>
      </c>
      <c r="M43" s="5"/>
    </row>
    <row r="44" spans="1:13" ht="32.25" customHeight="1">
      <c r="A44" s="44">
        <v>23</v>
      </c>
      <c r="B44" s="31" t="s">
        <v>76</v>
      </c>
      <c r="C44" s="31" t="s">
        <v>77</v>
      </c>
      <c r="D44" s="44" t="s">
        <v>25</v>
      </c>
      <c r="E44" s="32" t="s">
        <v>26</v>
      </c>
      <c r="F44" s="34">
        <v>70000</v>
      </c>
      <c r="G44" s="34">
        <v>2009</v>
      </c>
      <c r="H44" s="34">
        <v>5025.3599999999997</v>
      </c>
      <c r="I44" s="34">
        <v>2128</v>
      </c>
      <c r="J44" s="34">
        <v>2040.46</v>
      </c>
      <c r="K44" s="34">
        <f t="shared" si="3"/>
        <v>11202.82</v>
      </c>
      <c r="L44" s="34">
        <f t="shared" si="4"/>
        <v>58797.18</v>
      </c>
      <c r="M44" s="5"/>
    </row>
    <row r="45" spans="1:13" ht="32.25" customHeight="1">
      <c r="A45" s="44">
        <v>24</v>
      </c>
      <c r="B45" s="36" t="s">
        <v>78</v>
      </c>
      <c r="C45" s="36" t="s">
        <v>77</v>
      </c>
      <c r="D45" s="44" t="s">
        <v>25</v>
      </c>
      <c r="E45" s="32" t="s">
        <v>41</v>
      </c>
      <c r="F45" s="11">
        <v>55000</v>
      </c>
      <c r="G45" s="34">
        <v>1578.5</v>
      </c>
      <c r="H45" s="34">
        <v>2559.67</v>
      </c>
      <c r="I45" s="11">
        <v>1672</v>
      </c>
      <c r="J45" s="11">
        <v>10204.68</v>
      </c>
      <c r="K45" s="34">
        <v>16014.85</v>
      </c>
      <c r="L45" s="34">
        <f t="shared" si="4"/>
        <v>38985.15</v>
      </c>
      <c r="M45" s="5"/>
    </row>
    <row r="46" spans="1:13" ht="32.25" customHeight="1">
      <c r="A46" s="44">
        <v>25</v>
      </c>
      <c r="B46" s="36" t="s">
        <v>79</v>
      </c>
      <c r="C46" s="46" t="s">
        <v>77</v>
      </c>
      <c r="D46" s="44" t="s">
        <v>29</v>
      </c>
      <c r="E46" s="32" t="s">
        <v>26</v>
      </c>
      <c r="F46" s="34">
        <v>60000</v>
      </c>
      <c r="G46" s="34">
        <v>1722</v>
      </c>
      <c r="H46" s="34">
        <v>3486.65</v>
      </c>
      <c r="I46" s="34">
        <v>1824</v>
      </c>
      <c r="J46" s="34">
        <v>325</v>
      </c>
      <c r="K46" s="34">
        <f t="shared" si="3"/>
        <v>7357.65</v>
      </c>
      <c r="L46" s="34">
        <f t="shared" si="4"/>
        <v>52642.35</v>
      </c>
      <c r="M46" s="5"/>
    </row>
    <row r="47" spans="1:13" ht="32.25" customHeight="1">
      <c r="A47" s="44">
        <v>26</v>
      </c>
      <c r="B47" s="36" t="s">
        <v>80</v>
      </c>
      <c r="C47" s="36" t="s">
        <v>77</v>
      </c>
      <c r="D47" s="44" t="s">
        <v>25</v>
      </c>
      <c r="E47" s="32" t="s">
        <v>41</v>
      </c>
      <c r="F47" s="34">
        <v>55000</v>
      </c>
      <c r="G47" s="34">
        <v>1578.5</v>
      </c>
      <c r="H47" s="34">
        <v>2559.67</v>
      </c>
      <c r="I47" s="34">
        <v>1672</v>
      </c>
      <c r="J47" s="34">
        <v>29159.61</v>
      </c>
      <c r="K47" s="34">
        <f t="shared" si="3"/>
        <v>34969.78</v>
      </c>
      <c r="L47" s="34">
        <f>F47-K47</f>
        <v>20030.22</v>
      </c>
      <c r="M47" s="5"/>
    </row>
    <row r="48" spans="1:13" ht="32.25" customHeight="1">
      <c r="A48" s="44">
        <v>27</v>
      </c>
      <c r="B48" s="36" t="s">
        <v>81</v>
      </c>
      <c r="C48" s="36" t="s">
        <v>82</v>
      </c>
      <c r="D48" s="44" t="s">
        <v>25</v>
      </c>
      <c r="E48" s="32" t="s">
        <v>41</v>
      </c>
      <c r="F48" s="34">
        <v>30000</v>
      </c>
      <c r="G48" s="34">
        <v>861</v>
      </c>
      <c r="H48" s="34">
        <v>0</v>
      </c>
      <c r="I48" s="34">
        <v>912</v>
      </c>
      <c r="J48" s="34">
        <v>625</v>
      </c>
      <c r="K48" s="34">
        <f t="shared" si="3"/>
        <v>2398</v>
      </c>
      <c r="L48" s="34">
        <f t="shared" si="4"/>
        <v>27602</v>
      </c>
      <c r="M48" s="5"/>
    </row>
    <row r="49" spans="1:13" ht="32.25" customHeight="1">
      <c r="A49" s="7" t="s">
        <v>49</v>
      </c>
      <c r="B49" s="8"/>
      <c r="C49" s="8"/>
      <c r="D49" s="9"/>
      <c r="E49" s="7"/>
      <c r="F49" s="38">
        <f t="shared" ref="F49:L49" si="5">SUM(F42:F48)</f>
        <v>492500</v>
      </c>
      <c r="G49" s="38">
        <f t="shared" si="5"/>
        <v>14134.75</v>
      </c>
      <c r="H49" s="38">
        <f t="shared" si="5"/>
        <v>42277.06</v>
      </c>
      <c r="I49" s="38">
        <f t="shared" si="5"/>
        <v>14972</v>
      </c>
      <c r="J49" s="38">
        <f t="shared" si="5"/>
        <v>120948.97000000002</v>
      </c>
      <c r="K49" s="38">
        <f t="shared" si="5"/>
        <v>192332.78</v>
      </c>
      <c r="L49" s="38">
        <f t="shared" si="5"/>
        <v>300167.21999999997</v>
      </c>
      <c r="M49" s="5"/>
    </row>
    <row r="50" spans="1:13" ht="32.25" customHeight="1">
      <c r="A50" s="184" t="s">
        <v>83</v>
      </c>
      <c r="B50" s="184" t="s">
        <v>84</v>
      </c>
      <c r="C50" s="184"/>
      <c r="D50" s="184"/>
      <c r="E50" s="184"/>
      <c r="F50" s="184"/>
      <c r="G50" s="184"/>
      <c r="H50" s="184"/>
      <c r="I50" s="184"/>
      <c r="J50" s="184"/>
      <c r="K50" s="184"/>
      <c r="L50" s="184"/>
      <c r="M50" s="5"/>
    </row>
    <row r="51" spans="1:13" ht="32.25" customHeight="1">
      <c r="A51" s="28" t="s">
        <v>11</v>
      </c>
      <c r="B51" s="29" t="s">
        <v>12</v>
      </c>
      <c r="C51" s="29" t="s">
        <v>13</v>
      </c>
      <c r="D51" s="28" t="s">
        <v>14</v>
      </c>
      <c r="E51" s="29" t="s">
        <v>15</v>
      </c>
      <c r="F51" s="28" t="s">
        <v>16</v>
      </c>
      <c r="G51" s="28" t="s">
        <v>17</v>
      </c>
      <c r="H51" s="28" t="s">
        <v>18</v>
      </c>
      <c r="I51" s="28" t="s">
        <v>19</v>
      </c>
      <c r="J51" s="28" t="s">
        <v>20</v>
      </c>
      <c r="K51" s="28" t="s">
        <v>21</v>
      </c>
      <c r="L51" s="28" t="s">
        <v>22</v>
      </c>
      <c r="M51" s="5"/>
    </row>
    <row r="52" spans="1:13" ht="32.25" customHeight="1">
      <c r="A52" s="32">
        <v>28</v>
      </c>
      <c r="B52" s="31" t="s">
        <v>85</v>
      </c>
      <c r="C52" s="31" t="s">
        <v>86</v>
      </c>
      <c r="D52" s="32" t="s">
        <v>25</v>
      </c>
      <c r="E52" s="32" t="s">
        <v>26</v>
      </c>
      <c r="F52" s="34">
        <v>62000</v>
      </c>
      <c r="G52" s="34">
        <f>F52*0.0287</f>
        <v>1779.4</v>
      </c>
      <c r="H52" s="34">
        <v>3863.01</v>
      </c>
      <c r="I52" s="34">
        <f>IF(F52&lt;75829.93,F52*0.0304,2305.23)</f>
        <v>1884.8</v>
      </c>
      <c r="J52" s="34">
        <v>1425</v>
      </c>
      <c r="K52" s="11">
        <f>G52+H52+I52+J52</f>
        <v>8952.2099999999991</v>
      </c>
      <c r="L52" s="34">
        <f>F52-K52</f>
        <v>53047.79</v>
      </c>
      <c r="M52" s="5"/>
    </row>
    <row r="53" spans="1:13" ht="32.25" customHeight="1">
      <c r="A53" s="32">
        <v>29</v>
      </c>
      <c r="B53" s="31" t="s">
        <v>87</v>
      </c>
      <c r="C53" s="31" t="s">
        <v>88</v>
      </c>
      <c r="D53" s="32" t="s">
        <v>25</v>
      </c>
      <c r="E53" s="32" t="s">
        <v>41</v>
      </c>
      <c r="F53" s="34">
        <v>45000</v>
      </c>
      <c r="G53" s="34">
        <v>1291.5</v>
      </c>
      <c r="H53" s="34">
        <v>891.01</v>
      </c>
      <c r="I53" s="34">
        <v>1368</v>
      </c>
      <c r="J53" s="34">
        <v>1940.46</v>
      </c>
      <c r="K53" s="11">
        <f>G53+H53+I53+J53</f>
        <v>5490.97</v>
      </c>
      <c r="L53" s="34">
        <f>F53-K53</f>
        <v>39509.03</v>
      </c>
      <c r="M53" s="5"/>
    </row>
    <row r="54" spans="1:13" ht="32.25" customHeight="1">
      <c r="A54" s="7" t="s">
        <v>49</v>
      </c>
      <c r="B54" s="10"/>
      <c r="C54" s="10"/>
      <c r="D54" s="9"/>
      <c r="E54" s="7"/>
      <c r="F54" s="38">
        <f t="shared" ref="F54:L54" si="6">SUM(F52:F53)</f>
        <v>107000</v>
      </c>
      <c r="G54" s="38">
        <f t="shared" si="6"/>
        <v>3070.9</v>
      </c>
      <c r="H54" s="38">
        <f t="shared" si="6"/>
        <v>4754.0200000000004</v>
      </c>
      <c r="I54" s="38">
        <f t="shared" si="6"/>
        <v>3252.8</v>
      </c>
      <c r="J54" s="38">
        <f t="shared" si="6"/>
        <v>3365.46</v>
      </c>
      <c r="K54" s="38">
        <f t="shared" si="6"/>
        <v>14443.18</v>
      </c>
      <c r="L54" s="38">
        <f t="shared" si="6"/>
        <v>92556.82</v>
      </c>
      <c r="M54" s="5"/>
    </row>
    <row r="55" spans="1:13" ht="32.25" customHeight="1">
      <c r="A55" s="184" t="s">
        <v>89</v>
      </c>
      <c r="B55" s="184"/>
      <c r="C55" s="184"/>
      <c r="D55" s="184"/>
      <c r="E55" s="184"/>
      <c r="F55" s="184"/>
      <c r="G55" s="184"/>
      <c r="H55" s="184"/>
      <c r="I55" s="184"/>
      <c r="J55" s="184"/>
      <c r="K55" s="184"/>
      <c r="L55" s="184"/>
      <c r="M55" s="5"/>
    </row>
    <row r="56" spans="1:13" ht="32.25" customHeight="1">
      <c r="A56" s="28" t="s">
        <v>11</v>
      </c>
      <c r="B56" s="29" t="s">
        <v>12</v>
      </c>
      <c r="C56" s="29" t="s">
        <v>13</v>
      </c>
      <c r="D56" s="28" t="s">
        <v>14</v>
      </c>
      <c r="E56" s="29" t="s">
        <v>15</v>
      </c>
      <c r="F56" s="28" t="s">
        <v>16</v>
      </c>
      <c r="G56" s="28" t="s">
        <v>17</v>
      </c>
      <c r="H56" s="28" t="s">
        <v>18</v>
      </c>
      <c r="I56" s="28" t="s">
        <v>19</v>
      </c>
      <c r="J56" s="28" t="s">
        <v>20</v>
      </c>
      <c r="K56" s="28" t="s">
        <v>21</v>
      </c>
      <c r="L56" s="28" t="s">
        <v>22</v>
      </c>
      <c r="M56" s="5"/>
    </row>
    <row r="57" spans="1:13" ht="62.25" customHeight="1">
      <c r="A57" s="32">
        <v>30</v>
      </c>
      <c r="B57" s="31" t="s">
        <v>90</v>
      </c>
      <c r="C57" s="46" t="s">
        <v>91</v>
      </c>
      <c r="D57" s="47" t="s">
        <v>25</v>
      </c>
      <c r="E57" s="32" t="s">
        <v>26</v>
      </c>
      <c r="F57" s="11">
        <v>101500</v>
      </c>
      <c r="G57" s="11">
        <v>2913.05</v>
      </c>
      <c r="H57" s="11">
        <v>12458.27</v>
      </c>
      <c r="I57" s="11">
        <v>3085.6</v>
      </c>
      <c r="J57" s="11">
        <v>3813.01</v>
      </c>
      <c r="K57" s="11">
        <f>G57+H57+I57+J57</f>
        <v>22269.93</v>
      </c>
      <c r="L57" s="11">
        <f>F57-K57</f>
        <v>79230.070000000007</v>
      </c>
      <c r="M57" s="5"/>
    </row>
    <row r="58" spans="1:13" ht="32.25" customHeight="1">
      <c r="A58" s="7" t="s">
        <v>49</v>
      </c>
      <c r="B58" s="10"/>
      <c r="C58" s="10"/>
      <c r="D58" s="9"/>
      <c r="E58" s="7"/>
      <c r="F58" s="38">
        <f>SUM(F57:F57)</f>
        <v>101500</v>
      </c>
      <c r="G58" s="38">
        <f>SUM(G57:G57)</f>
        <v>2913.05</v>
      </c>
      <c r="H58" s="38">
        <f>SUM(H57:H57)</f>
        <v>12458.27</v>
      </c>
      <c r="I58" s="38">
        <f>+SUM(I57:I57)</f>
        <v>3085.6</v>
      </c>
      <c r="J58" s="38">
        <f>SUM(J57:J57)</f>
        <v>3813.01</v>
      </c>
      <c r="K58" s="38">
        <f>+SUM(K57:K57)</f>
        <v>22269.93</v>
      </c>
      <c r="L58" s="38">
        <f>SUM(L57:L57)</f>
        <v>79230.070000000007</v>
      </c>
      <c r="M58" s="5"/>
    </row>
    <row r="59" spans="1:13" ht="32.25" customHeight="1">
      <c r="A59" s="184" t="s">
        <v>92</v>
      </c>
      <c r="B59" s="184"/>
      <c r="C59" s="184"/>
      <c r="D59" s="184"/>
      <c r="E59" s="184"/>
      <c r="F59" s="184"/>
      <c r="G59" s="184"/>
      <c r="H59" s="184"/>
      <c r="I59" s="184"/>
      <c r="J59" s="184"/>
      <c r="K59" s="184"/>
      <c r="L59" s="184"/>
      <c r="M59" s="5"/>
    </row>
    <row r="60" spans="1:13" ht="32.25" customHeight="1">
      <c r="A60" s="28" t="s">
        <v>11</v>
      </c>
      <c r="B60" s="29" t="s">
        <v>12</v>
      </c>
      <c r="C60" s="29" t="s">
        <v>13</v>
      </c>
      <c r="D60" s="28" t="s">
        <v>14</v>
      </c>
      <c r="E60" s="29" t="s">
        <v>15</v>
      </c>
      <c r="F60" s="28" t="s">
        <v>16</v>
      </c>
      <c r="G60" s="28" t="s">
        <v>17</v>
      </c>
      <c r="H60" s="28" t="s">
        <v>18</v>
      </c>
      <c r="I60" s="28" t="s">
        <v>19</v>
      </c>
      <c r="J60" s="28" t="s">
        <v>20</v>
      </c>
      <c r="K60" s="28" t="s">
        <v>21</v>
      </c>
      <c r="L60" s="28" t="s">
        <v>22</v>
      </c>
      <c r="M60" s="5"/>
    </row>
    <row r="61" spans="1:13" ht="32.25" customHeight="1">
      <c r="A61" s="30">
        <v>31</v>
      </c>
      <c r="B61" s="31" t="s">
        <v>93</v>
      </c>
      <c r="C61" s="31" t="s">
        <v>94</v>
      </c>
      <c r="D61" s="32" t="s">
        <v>29</v>
      </c>
      <c r="E61" s="32" t="s">
        <v>41</v>
      </c>
      <c r="F61" s="11">
        <v>37000</v>
      </c>
      <c r="G61" s="11">
        <v>1061.9000000000001</v>
      </c>
      <c r="H61" s="34">
        <v>19.239999999999998</v>
      </c>
      <c r="I61" s="11">
        <v>1124.8</v>
      </c>
      <c r="J61" s="11">
        <v>225</v>
      </c>
      <c r="K61" s="11">
        <f t="shared" ref="K61:K66" si="7">G61+H61+I61+J61</f>
        <v>2430.94</v>
      </c>
      <c r="L61" s="11">
        <f t="shared" ref="L61:L66" si="8">F61-K61</f>
        <v>34569.06</v>
      </c>
      <c r="M61" s="5"/>
    </row>
    <row r="62" spans="1:13" ht="32.25" customHeight="1">
      <c r="A62" s="30">
        <v>32</v>
      </c>
      <c r="B62" s="37" t="s">
        <v>95</v>
      </c>
      <c r="C62" s="31" t="s">
        <v>96</v>
      </c>
      <c r="D62" s="32" t="s">
        <v>29</v>
      </c>
      <c r="E62" s="32" t="s">
        <v>26</v>
      </c>
      <c r="F62" s="11">
        <v>60000</v>
      </c>
      <c r="G62" s="11">
        <v>1722</v>
      </c>
      <c r="H62" s="34">
        <v>2800.47</v>
      </c>
      <c r="I62" s="11">
        <v>1824</v>
      </c>
      <c r="J62" s="11">
        <v>10229.129999999999</v>
      </c>
      <c r="K62" s="11">
        <f t="shared" si="7"/>
        <v>16575.599999999999</v>
      </c>
      <c r="L62" s="11">
        <f t="shared" si="8"/>
        <v>43424.4</v>
      </c>
      <c r="M62" s="5"/>
    </row>
    <row r="63" spans="1:13" ht="32.25" customHeight="1">
      <c r="A63" s="30">
        <v>33</v>
      </c>
      <c r="B63" s="31" t="s">
        <v>97</v>
      </c>
      <c r="C63" s="31" t="s">
        <v>98</v>
      </c>
      <c r="D63" s="32" t="s">
        <v>29</v>
      </c>
      <c r="E63" s="32" t="s">
        <v>26</v>
      </c>
      <c r="F63" s="11">
        <v>122500</v>
      </c>
      <c r="G63" s="11">
        <v>3515.75</v>
      </c>
      <c r="H63" s="11">
        <v>16969.13</v>
      </c>
      <c r="I63" s="11">
        <v>3724</v>
      </c>
      <c r="J63" s="11">
        <v>1840.46</v>
      </c>
      <c r="K63" s="11">
        <f t="shared" si="7"/>
        <v>26049.34</v>
      </c>
      <c r="L63" s="11">
        <f t="shared" si="8"/>
        <v>96450.66</v>
      </c>
      <c r="M63" s="5"/>
    </row>
    <row r="64" spans="1:13" ht="32.25" customHeight="1">
      <c r="A64" s="30">
        <v>34</v>
      </c>
      <c r="B64" s="31" t="s">
        <v>99</v>
      </c>
      <c r="C64" s="31" t="s">
        <v>100</v>
      </c>
      <c r="D64" s="32" t="s">
        <v>29</v>
      </c>
      <c r="E64" s="32" t="s">
        <v>26</v>
      </c>
      <c r="F64" s="11">
        <v>54450</v>
      </c>
      <c r="G64" s="11">
        <v>1562.72</v>
      </c>
      <c r="H64" s="34">
        <v>2482.0500000000002</v>
      </c>
      <c r="I64" s="11">
        <v>1655.28</v>
      </c>
      <c r="J64" s="11">
        <v>25</v>
      </c>
      <c r="K64" s="11">
        <f t="shared" si="7"/>
        <v>5725.05</v>
      </c>
      <c r="L64" s="11">
        <f t="shared" si="8"/>
        <v>48724.95</v>
      </c>
      <c r="M64" s="5"/>
    </row>
    <row r="65" spans="1:13" ht="32.25" customHeight="1">
      <c r="A65" s="30">
        <v>35</v>
      </c>
      <c r="B65" s="31" t="s">
        <v>101</v>
      </c>
      <c r="C65" s="31" t="s">
        <v>102</v>
      </c>
      <c r="D65" s="32" t="s">
        <v>29</v>
      </c>
      <c r="E65" s="32" t="s">
        <v>26</v>
      </c>
      <c r="F65" s="11">
        <f>48000+45000</f>
        <v>93000</v>
      </c>
      <c r="G65" s="11">
        <v>2669.1</v>
      </c>
      <c r="H65" s="34">
        <v>10458.86</v>
      </c>
      <c r="I65" s="11">
        <v>2827.2</v>
      </c>
      <c r="J65" s="11">
        <v>9233.6200000000008</v>
      </c>
      <c r="K65" s="11">
        <f t="shared" si="7"/>
        <v>25188.78</v>
      </c>
      <c r="L65" s="11">
        <f t="shared" si="8"/>
        <v>67811.22</v>
      </c>
      <c r="M65" s="5"/>
    </row>
    <row r="66" spans="1:13" ht="32.25" customHeight="1">
      <c r="A66" s="30">
        <v>36</v>
      </c>
      <c r="B66" s="31" t="s">
        <v>103</v>
      </c>
      <c r="C66" s="31" t="s">
        <v>104</v>
      </c>
      <c r="D66" s="32" t="s">
        <v>29</v>
      </c>
      <c r="E66" s="32" t="s">
        <v>41</v>
      </c>
      <c r="F66" s="11">
        <v>33500</v>
      </c>
      <c r="G66" s="11">
        <v>961.45</v>
      </c>
      <c r="H66" s="34">
        <v>0</v>
      </c>
      <c r="I66" s="11">
        <v>1018.4</v>
      </c>
      <c r="J66" s="11">
        <v>695</v>
      </c>
      <c r="K66" s="11">
        <f t="shared" si="7"/>
        <v>2674.85</v>
      </c>
      <c r="L66" s="11">
        <f t="shared" si="8"/>
        <v>30825.15</v>
      </c>
      <c r="M66" s="5"/>
    </row>
    <row r="67" spans="1:13" ht="32.25" customHeight="1">
      <c r="A67" s="7" t="s">
        <v>49</v>
      </c>
      <c r="B67" s="10"/>
      <c r="C67" s="10"/>
      <c r="D67" s="9"/>
      <c r="E67" s="7"/>
      <c r="F67" s="38">
        <v>400450</v>
      </c>
      <c r="G67" s="38">
        <f t="shared" ref="G67:L67" si="9">SUM(G61:G66)</f>
        <v>11492.92</v>
      </c>
      <c r="H67" s="38">
        <f t="shared" si="9"/>
        <v>32729.75</v>
      </c>
      <c r="I67" s="38">
        <f t="shared" si="9"/>
        <v>12173.679999999998</v>
      </c>
      <c r="J67" s="38">
        <f t="shared" si="9"/>
        <v>22248.21</v>
      </c>
      <c r="K67" s="38">
        <f t="shared" si="9"/>
        <v>78644.56</v>
      </c>
      <c r="L67" s="12">
        <f t="shared" si="9"/>
        <v>321805.44000000006</v>
      </c>
      <c r="M67" s="5"/>
    </row>
    <row r="68" spans="1:13" ht="32.25" customHeight="1">
      <c r="A68" s="184" t="s">
        <v>105</v>
      </c>
      <c r="B68" s="184"/>
      <c r="C68" s="184"/>
      <c r="D68" s="184"/>
      <c r="E68" s="184"/>
      <c r="F68" s="184"/>
      <c r="G68" s="184"/>
      <c r="H68" s="184"/>
      <c r="I68" s="184"/>
      <c r="J68" s="184"/>
      <c r="K68" s="184"/>
      <c r="L68" s="184"/>
      <c r="M68" s="5"/>
    </row>
    <row r="69" spans="1:13" ht="32.25" customHeight="1">
      <c r="A69" s="28" t="s">
        <v>11</v>
      </c>
      <c r="B69" s="29" t="s">
        <v>12</v>
      </c>
      <c r="C69" s="29" t="s">
        <v>13</v>
      </c>
      <c r="D69" s="28" t="s">
        <v>14</v>
      </c>
      <c r="E69" s="29" t="s">
        <v>15</v>
      </c>
      <c r="F69" s="28" t="s">
        <v>16</v>
      </c>
      <c r="G69" s="28" t="s">
        <v>17</v>
      </c>
      <c r="H69" s="28" t="s">
        <v>18</v>
      </c>
      <c r="I69" s="28" t="s">
        <v>19</v>
      </c>
      <c r="J69" s="28" t="s">
        <v>20</v>
      </c>
      <c r="K69" s="28" t="s">
        <v>21</v>
      </c>
      <c r="L69" s="28" t="s">
        <v>22</v>
      </c>
      <c r="M69" s="5"/>
    </row>
    <row r="70" spans="1:13" ht="32.25" customHeight="1">
      <c r="A70" s="30">
        <v>37</v>
      </c>
      <c r="B70" s="31" t="s">
        <v>106</v>
      </c>
      <c r="C70" s="31" t="s">
        <v>107</v>
      </c>
      <c r="D70" s="44" t="s">
        <v>25</v>
      </c>
      <c r="E70" s="32" t="s">
        <v>26</v>
      </c>
      <c r="F70" s="34">
        <v>122500</v>
      </c>
      <c r="G70" s="34">
        <v>3515.75</v>
      </c>
      <c r="H70" s="34">
        <v>17398</v>
      </c>
      <c r="I70" s="34">
        <v>3724</v>
      </c>
      <c r="J70" s="34">
        <v>4138.3</v>
      </c>
      <c r="K70" s="34">
        <f>G70+H70+I70+J70</f>
        <v>28776.05</v>
      </c>
      <c r="L70" s="34">
        <f>F70-K70</f>
        <v>93723.95</v>
      </c>
      <c r="M70" s="5"/>
    </row>
    <row r="71" spans="1:13" ht="32.25" customHeight="1">
      <c r="A71" s="32">
        <v>38</v>
      </c>
      <c r="B71" s="31" t="s">
        <v>108</v>
      </c>
      <c r="C71" s="31" t="s">
        <v>109</v>
      </c>
      <c r="D71" s="32" t="s">
        <v>29</v>
      </c>
      <c r="E71" s="32" t="s">
        <v>41</v>
      </c>
      <c r="F71" s="34">
        <v>55000</v>
      </c>
      <c r="G71" s="34">
        <f>1004.5+574</f>
        <v>1578.5</v>
      </c>
      <c r="H71" s="34">
        <v>2559.67</v>
      </c>
      <c r="I71" s="34">
        <v>1672</v>
      </c>
      <c r="J71" s="34">
        <v>325</v>
      </c>
      <c r="K71" s="34">
        <f>G71+H71+I71+J71</f>
        <v>6135.17</v>
      </c>
      <c r="L71" s="11">
        <f>F71-K71</f>
        <v>48864.83</v>
      </c>
      <c r="M71" s="5"/>
    </row>
    <row r="72" spans="1:13" ht="32.25" customHeight="1">
      <c r="A72" s="7" t="s">
        <v>49</v>
      </c>
      <c r="B72" s="10"/>
      <c r="C72" s="10"/>
      <c r="D72" s="9"/>
      <c r="E72" s="7"/>
      <c r="F72" s="38">
        <f t="shared" ref="F72:L72" si="10">SUM(F70:F71)</f>
        <v>177500</v>
      </c>
      <c r="G72" s="38">
        <f t="shared" si="10"/>
        <v>5094.25</v>
      </c>
      <c r="H72" s="38">
        <f t="shared" si="10"/>
        <v>19957.669999999998</v>
      </c>
      <c r="I72" s="38">
        <f t="shared" si="10"/>
        <v>5396</v>
      </c>
      <c r="J72" s="38">
        <f t="shared" si="10"/>
        <v>4463.3</v>
      </c>
      <c r="K72" s="38">
        <f>SUM(K70:K71)</f>
        <v>34911.22</v>
      </c>
      <c r="L72" s="38">
        <f t="shared" si="10"/>
        <v>142588.78</v>
      </c>
      <c r="M72" s="5"/>
    </row>
    <row r="73" spans="1:13" ht="32.25" customHeight="1">
      <c r="A73" s="184" t="s">
        <v>110</v>
      </c>
      <c r="B73" s="184"/>
      <c r="C73" s="184"/>
      <c r="D73" s="184"/>
      <c r="E73" s="184"/>
      <c r="F73" s="184"/>
      <c r="G73" s="184"/>
      <c r="H73" s="184"/>
      <c r="I73" s="184"/>
      <c r="J73" s="184"/>
      <c r="K73" s="184"/>
      <c r="L73" s="184"/>
      <c r="M73" s="5"/>
    </row>
    <row r="74" spans="1:13" ht="32.25" customHeight="1">
      <c r="A74" s="28" t="s">
        <v>11</v>
      </c>
      <c r="B74" s="29" t="s">
        <v>12</v>
      </c>
      <c r="C74" s="29" t="s">
        <v>13</v>
      </c>
      <c r="D74" s="28" t="s">
        <v>14</v>
      </c>
      <c r="E74" s="29" t="s">
        <v>15</v>
      </c>
      <c r="F74" s="28" t="s">
        <v>16</v>
      </c>
      <c r="G74" s="28" t="s">
        <v>17</v>
      </c>
      <c r="H74" s="28" t="s">
        <v>18</v>
      </c>
      <c r="I74" s="28" t="s">
        <v>19</v>
      </c>
      <c r="J74" s="28" t="s">
        <v>20</v>
      </c>
      <c r="K74" s="28" t="s">
        <v>21</v>
      </c>
      <c r="L74" s="28" t="s">
        <v>22</v>
      </c>
      <c r="M74" s="5"/>
    </row>
    <row r="75" spans="1:13" ht="32.25" customHeight="1">
      <c r="A75" s="30">
        <v>39</v>
      </c>
      <c r="B75" s="36" t="s">
        <v>111</v>
      </c>
      <c r="C75" s="31" t="s">
        <v>40</v>
      </c>
      <c r="D75" s="32" t="s">
        <v>25</v>
      </c>
      <c r="E75" s="35" t="s">
        <v>41</v>
      </c>
      <c r="F75" s="48">
        <v>70000</v>
      </c>
      <c r="G75" s="11">
        <f>F75*0.0287</f>
        <v>2009</v>
      </c>
      <c r="H75" s="34">
        <v>5368.45</v>
      </c>
      <c r="I75" s="34">
        <f>IF(F75&lt;75829.93,F75*0.0304,2305.23)</f>
        <v>2128</v>
      </c>
      <c r="J75" s="33">
        <v>39280.68</v>
      </c>
      <c r="K75" s="33">
        <f>+G75+I75+H75+J75</f>
        <v>48786.130000000005</v>
      </c>
      <c r="L75" s="33">
        <f>+F75-K75</f>
        <v>21213.869999999995</v>
      </c>
      <c r="M75" s="5"/>
    </row>
    <row r="76" spans="1:13" ht="32.25" customHeight="1">
      <c r="A76" s="7" t="s">
        <v>49</v>
      </c>
      <c r="B76" s="10"/>
      <c r="C76" s="10"/>
      <c r="D76" s="9"/>
      <c r="E76" s="7"/>
      <c r="F76" s="13">
        <f>+F75</f>
        <v>70000</v>
      </c>
      <c r="G76" s="14">
        <f>+SUM(G75)</f>
        <v>2009</v>
      </c>
      <c r="H76" s="49">
        <f>SUM(H75)</f>
        <v>5368.45</v>
      </c>
      <c r="I76" s="13">
        <f>+SUM(I75)</f>
        <v>2128</v>
      </c>
      <c r="J76" s="13">
        <f>+J75</f>
        <v>39280.68</v>
      </c>
      <c r="K76" s="38">
        <f>SUM(K75)</f>
        <v>48786.130000000005</v>
      </c>
      <c r="L76" s="13">
        <f>SUM(L75)</f>
        <v>21213.869999999995</v>
      </c>
      <c r="M76" s="5"/>
    </row>
    <row r="77" spans="1:13" ht="32.25" customHeight="1">
      <c r="A77" s="184" t="s">
        <v>112</v>
      </c>
      <c r="B77" s="184" t="s">
        <v>84</v>
      </c>
      <c r="C77" s="184"/>
      <c r="D77" s="184"/>
      <c r="E77" s="184"/>
      <c r="F77" s="184"/>
      <c r="G77" s="184"/>
      <c r="H77" s="184"/>
      <c r="I77" s="184"/>
      <c r="J77" s="184"/>
      <c r="K77" s="184"/>
      <c r="L77" s="184"/>
      <c r="M77" s="5"/>
    </row>
    <row r="78" spans="1:13" ht="32.25" customHeight="1">
      <c r="A78" s="28" t="s">
        <v>11</v>
      </c>
      <c r="B78" s="29" t="s">
        <v>12</v>
      </c>
      <c r="C78" s="29" t="s">
        <v>13</v>
      </c>
      <c r="D78" s="28" t="s">
        <v>14</v>
      </c>
      <c r="E78" s="29" t="s">
        <v>15</v>
      </c>
      <c r="F78" s="28" t="s">
        <v>16</v>
      </c>
      <c r="G78" s="28" t="s">
        <v>17</v>
      </c>
      <c r="H78" s="28" t="s">
        <v>18</v>
      </c>
      <c r="I78" s="28" t="s">
        <v>19</v>
      </c>
      <c r="J78" s="28" t="s">
        <v>20</v>
      </c>
      <c r="K78" s="28" t="s">
        <v>21</v>
      </c>
      <c r="L78" s="28" t="s">
        <v>22</v>
      </c>
      <c r="M78" s="5"/>
    </row>
    <row r="79" spans="1:13" ht="32.25" customHeight="1">
      <c r="A79" s="30">
        <v>40</v>
      </c>
      <c r="B79" s="31" t="s">
        <v>113</v>
      </c>
      <c r="C79" s="31" t="s">
        <v>114</v>
      </c>
      <c r="D79" s="44" t="s">
        <v>25</v>
      </c>
      <c r="E79" s="32" t="s">
        <v>26</v>
      </c>
      <c r="F79" s="34">
        <v>60000</v>
      </c>
      <c r="G79" s="34">
        <v>1722</v>
      </c>
      <c r="H79" s="34">
        <v>3486.65</v>
      </c>
      <c r="I79" s="34">
        <v>1824</v>
      </c>
      <c r="J79" s="34">
        <v>225</v>
      </c>
      <c r="K79" s="34">
        <f>G79+H79+I79+J79</f>
        <v>7257.65</v>
      </c>
      <c r="L79" s="34">
        <f>F79-K79</f>
        <v>52742.35</v>
      </c>
      <c r="M79" s="5"/>
    </row>
    <row r="80" spans="1:13" ht="32.25" customHeight="1">
      <c r="A80" s="30">
        <v>41</v>
      </c>
      <c r="B80" s="31" t="s">
        <v>115</v>
      </c>
      <c r="C80" s="31" t="s">
        <v>116</v>
      </c>
      <c r="D80" s="32" t="s">
        <v>25</v>
      </c>
      <c r="E80" s="32" t="s">
        <v>26</v>
      </c>
      <c r="F80" s="50">
        <v>60000</v>
      </c>
      <c r="G80" s="50">
        <v>1722</v>
      </c>
      <c r="H80" s="51">
        <v>3143.56</v>
      </c>
      <c r="I80" s="50">
        <v>1824</v>
      </c>
      <c r="J80" s="50">
        <v>20511.18</v>
      </c>
      <c r="K80" s="50">
        <f>G80+H80+I80+J80</f>
        <v>27200.739999999998</v>
      </c>
      <c r="L80" s="50">
        <f>F80-K80</f>
        <v>32799.26</v>
      </c>
      <c r="M80" s="5"/>
    </row>
    <row r="81" spans="1:13" ht="32.25" customHeight="1">
      <c r="A81" s="32">
        <v>43</v>
      </c>
      <c r="B81" s="31" t="s">
        <v>118</v>
      </c>
      <c r="C81" s="31" t="s">
        <v>116</v>
      </c>
      <c r="D81" s="32" t="s">
        <v>25</v>
      </c>
      <c r="E81" s="32" t="s">
        <v>41</v>
      </c>
      <c r="F81" s="34">
        <v>50000</v>
      </c>
      <c r="G81" s="34">
        <v>1435</v>
      </c>
      <c r="H81" s="34">
        <v>1854</v>
      </c>
      <c r="I81" s="34">
        <v>1520</v>
      </c>
      <c r="J81" s="34">
        <v>2039.5</v>
      </c>
      <c r="K81" s="34">
        <f>G81+H81+I81+J81</f>
        <v>6848.5</v>
      </c>
      <c r="L81" s="34">
        <f>F81-K81</f>
        <v>43151.5</v>
      </c>
      <c r="M81" s="5"/>
    </row>
    <row r="82" spans="1:13" ht="32.25" customHeight="1">
      <c r="A82" s="7" t="s">
        <v>49</v>
      </c>
      <c r="B82" s="10"/>
      <c r="C82" s="10"/>
      <c r="D82" s="9"/>
      <c r="E82" s="7"/>
      <c r="F82" s="38">
        <f>SUM(F79:F81)</f>
        <v>170000</v>
      </c>
      <c r="G82" s="38">
        <f>SUM(G79:G81)</f>
        <v>4879</v>
      </c>
      <c r="H82" s="38">
        <f>SUM(H79:H81)</f>
        <v>8484.2099999999991</v>
      </c>
      <c r="I82" s="38">
        <f>SUM(I79:I81)</f>
        <v>5168</v>
      </c>
      <c r="J82" s="38">
        <f>SUM(J79:J81)</f>
        <v>22775.68</v>
      </c>
      <c r="K82" s="38">
        <f>SUM(K79:K81)</f>
        <v>41306.89</v>
      </c>
      <c r="L82" s="38">
        <f>F82-K82</f>
        <v>128693.11</v>
      </c>
      <c r="M82" s="5"/>
    </row>
    <row r="83" spans="1:13" ht="32.25" customHeight="1">
      <c r="A83" s="184" t="s">
        <v>119</v>
      </c>
      <c r="B83" s="184" t="s">
        <v>84</v>
      </c>
      <c r="C83" s="184"/>
      <c r="D83" s="184"/>
      <c r="E83" s="184"/>
      <c r="F83" s="184"/>
      <c r="G83" s="184"/>
      <c r="H83" s="184"/>
      <c r="I83" s="184"/>
      <c r="J83" s="184"/>
      <c r="K83" s="184"/>
      <c r="L83" s="184"/>
      <c r="M83" s="5"/>
    </row>
    <row r="84" spans="1:13" ht="32.25" customHeight="1">
      <c r="A84" s="28" t="s">
        <v>11</v>
      </c>
      <c r="B84" s="29" t="s">
        <v>12</v>
      </c>
      <c r="C84" s="29" t="s">
        <v>13</v>
      </c>
      <c r="D84" s="28" t="s">
        <v>14</v>
      </c>
      <c r="E84" s="29" t="s">
        <v>15</v>
      </c>
      <c r="F84" s="28" t="s">
        <v>16</v>
      </c>
      <c r="G84" s="28" t="s">
        <v>17</v>
      </c>
      <c r="H84" s="28" t="s">
        <v>18</v>
      </c>
      <c r="I84" s="28" t="s">
        <v>19</v>
      </c>
      <c r="J84" s="28" t="s">
        <v>20</v>
      </c>
      <c r="K84" s="28" t="s">
        <v>21</v>
      </c>
      <c r="L84" s="28" t="s">
        <v>22</v>
      </c>
      <c r="M84" s="5"/>
    </row>
    <row r="85" spans="1:13" ht="32.25" customHeight="1">
      <c r="A85" s="30">
        <v>44</v>
      </c>
      <c r="B85" s="31" t="s">
        <v>120</v>
      </c>
      <c r="C85" s="31" t="s">
        <v>121</v>
      </c>
      <c r="D85" s="44" t="s">
        <v>29</v>
      </c>
      <c r="E85" s="32" t="s">
        <v>41</v>
      </c>
      <c r="F85" s="34">
        <v>60000</v>
      </c>
      <c r="G85" s="34">
        <v>1722</v>
      </c>
      <c r="H85" s="34">
        <v>3486.65</v>
      </c>
      <c r="I85" s="34">
        <v>1824</v>
      </c>
      <c r="J85" s="34">
        <v>8632.9</v>
      </c>
      <c r="K85" s="34">
        <f t="shared" ref="K85:K91" si="11">G85+H85+I85+J85</f>
        <v>15665.55</v>
      </c>
      <c r="L85" s="34">
        <f t="shared" ref="L85:L92" si="12">F85-K85</f>
        <v>44334.45</v>
      </c>
      <c r="M85" s="5"/>
    </row>
    <row r="86" spans="1:13" ht="32.25" customHeight="1">
      <c r="A86" s="32">
        <v>45</v>
      </c>
      <c r="B86" s="31" t="s">
        <v>122</v>
      </c>
      <c r="C86" s="31" t="s">
        <v>104</v>
      </c>
      <c r="D86" s="32" t="s">
        <v>29</v>
      </c>
      <c r="E86" s="32" t="s">
        <v>41</v>
      </c>
      <c r="F86" s="34">
        <v>33500</v>
      </c>
      <c r="G86" s="34">
        <v>961.45</v>
      </c>
      <c r="H86" s="34">
        <v>0</v>
      </c>
      <c r="I86" s="34">
        <v>1018.4</v>
      </c>
      <c r="J86" s="34">
        <v>17075.47</v>
      </c>
      <c r="K86" s="34">
        <f t="shared" si="11"/>
        <v>19055.32</v>
      </c>
      <c r="L86" s="34">
        <f t="shared" si="12"/>
        <v>14444.68</v>
      </c>
      <c r="M86" s="5"/>
    </row>
    <row r="87" spans="1:13" ht="32.25" customHeight="1">
      <c r="A87" s="32">
        <v>46</v>
      </c>
      <c r="B87" s="37" t="s">
        <v>123</v>
      </c>
      <c r="C87" s="31" t="s">
        <v>124</v>
      </c>
      <c r="D87" s="32" t="s">
        <v>29</v>
      </c>
      <c r="E87" s="32" t="s">
        <v>41</v>
      </c>
      <c r="F87" s="34">
        <v>26000</v>
      </c>
      <c r="G87" s="6">
        <v>746.2</v>
      </c>
      <c r="H87" s="15">
        <v>0</v>
      </c>
      <c r="I87" s="34">
        <v>790.4</v>
      </c>
      <c r="J87" s="6">
        <v>25</v>
      </c>
      <c r="K87" s="6">
        <f t="shared" si="11"/>
        <v>1561.6</v>
      </c>
      <c r="L87" s="11">
        <f t="shared" si="12"/>
        <v>24438.400000000001</v>
      </c>
      <c r="M87" s="16"/>
    </row>
    <row r="88" spans="1:13" ht="32.25" customHeight="1">
      <c r="A88" s="32">
        <v>47</v>
      </c>
      <c r="B88" s="31" t="s">
        <v>125</v>
      </c>
      <c r="C88" s="31" t="s">
        <v>104</v>
      </c>
      <c r="D88" s="32" t="s">
        <v>25</v>
      </c>
      <c r="E88" s="32" t="s">
        <v>41</v>
      </c>
      <c r="F88" s="34">
        <v>35000</v>
      </c>
      <c r="G88" s="34">
        <v>1004.5</v>
      </c>
      <c r="H88" s="34">
        <v>0</v>
      </c>
      <c r="I88" s="34">
        <v>1064</v>
      </c>
      <c r="J88" s="34">
        <v>225</v>
      </c>
      <c r="K88" s="34">
        <f t="shared" si="11"/>
        <v>2293.5</v>
      </c>
      <c r="L88" s="34">
        <f t="shared" si="12"/>
        <v>32706.5</v>
      </c>
      <c r="M88" s="16"/>
    </row>
    <row r="89" spans="1:13" ht="32.25" customHeight="1">
      <c r="A89" s="32">
        <v>48</v>
      </c>
      <c r="B89" s="31" t="s">
        <v>126</v>
      </c>
      <c r="C89" s="31" t="s">
        <v>104</v>
      </c>
      <c r="D89" s="32" t="s">
        <v>29</v>
      </c>
      <c r="E89" s="32" t="s">
        <v>37</v>
      </c>
      <c r="F89" s="34">
        <v>33500</v>
      </c>
      <c r="G89" s="34">
        <v>961.45</v>
      </c>
      <c r="H89" s="34">
        <v>0</v>
      </c>
      <c r="I89" s="34">
        <v>1018.4</v>
      </c>
      <c r="J89" s="34">
        <v>7860.33</v>
      </c>
      <c r="K89" s="34">
        <f t="shared" si="11"/>
        <v>9840.18</v>
      </c>
      <c r="L89" s="34">
        <f t="shared" si="12"/>
        <v>23659.82</v>
      </c>
      <c r="M89" s="16"/>
    </row>
    <row r="90" spans="1:13" ht="32.25" customHeight="1">
      <c r="A90" s="30">
        <v>49</v>
      </c>
      <c r="B90" s="52" t="s">
        <v>127</v>
      </c>
      <c r="C90" s="52" t="s">
        <v>128</v>
      </c>
      <c r="D90" s="32" t="s">
        <v>25</v>
      </c>
      <c r="E90" s="32" t="s">
        <v>41</v>
      </c>
      <c r="F90" s="11">
        <v>33500</v>
      </c>
      <c r="G90" s="33">
        <v>961.45</v>
      </c>
      <c r="H90" s="15">
        <v>0</v>
      </c>
      <c r="I90" s="34">
        <v>1018.4</v>
      </c>
      <c r="J90" s="11">
        <v>5343.4</v>
      </c>
      <c r="K90" s="11">
        <f t="shared" si="11"/>
        <v>7323.25</v>
      </c>
      <c r="L90" s="33">
        <f t="shared" si="12"/>
        <v>26176.75</v>
      </c>
      <c r="M90" s="16"/>
    </row>
    <row r="91" spans="1:13" ht="32.25" customHeight="1">
      <c r="A91" s="30">
        <v>50</v>
      </c>
      <c r="B91" s="52" t="s">
        <v>129</v>
      </c>
      <c r="C91" s="52" t="s">
        <v>130</v>
      </c>
      <c r="D91" s="32" t="s">
        <v>25</v>
      </c>
      <c r="E91" s="32" t="s">
        <v>41</v>
      </c>
      <c r="F91" s="11">
        <v>30000</v>
      </c>
      <c r="G91" s="33">
        <v>861</v>
      </c>
      <c r="H91" s="15">
        <v>0</v>
      </c>
      <c r="I91" s="34">
        <v>912</v>
      </c>
      <c r="J91" s="11">
        <v>2439.5</v>
      </c>
      <c r="K91" s="11">
        <f t="shared" si="11"/>
        <v>4212.5</v>
      </c>
      <c r="L91" s="33">
        <f t="shared" si="12"/>
        <v>25787.5</v>
      </c>
      <c r="M91" s="16"/>
    </row>
    <row r="92" spans="1:13" ht="32.25" customHeight="1">
      <c r="A92" s="30">
        <v>51</v>
      </c>
      <c r="B92" s="52" t="s">
        <v>131</v>
      </c>
      <c r="C92" s="52" t="s">
        <v>104</v>
      </c>
      <c r="D92" s="32" t="s">
        <v>29</v>
      </c>
      <c r="E92" s="32" t="s">
        <v>41</v>
      </c>
      <c r="F92" s="11">
        <v>30000</v>
      </c>
      <c r="G92" s="33">
        <v>861</v>
      </c>
      <c r="H92" s="15">
        <v>0</v>
      </c>
      <c r="I92" s="34">
        <v>912</v>
      </c>
      <c r="J92" s="11">
        <v>225</v>
      </c>
      <c r="K92" s="11">
        <f>G92+H92+I92+J92</f>
        <v>1998</v>
      </c>
      <c r="L92" s="33">
        <f t="shared" si="12"/>
        <v>28002</v>
      </c>
      <c r="M92" s="16"/>
    </row>
    <row r="93" spans="1:13" ht="32.25" customHeight="1">
      <c r="A93" s="7" t="s">
        <v>49</v>
      </c>
      <c r="B93" s="10"/>
      <c r="C93" s="10"/>
      <c r="D93" s="9"/>
      <c r="E93" s="7"/>
      <c r="F93" s="38">
        <f t="shared" ref="F93:L93" si="13">SUM(F85:F92)</f>
        <v>281500</v>
      </c>
      <c r="G93" s="38">
        <f t="shared" si="13"/>
        <v>8079.0499999999993</v>
      </c>
      <c r="H93" s="38">
        <f t="shared" si="13"/>
        <v>3486.65</v>
      </c>
      <c r="I93" s="38">
        <f t="shared" si="13"/>
        <v>8557.5999999999985</v>
      </c>
      <c r="J93" s="38">
        <f t="shared" si="13"/>
        <v>41826.600000000006</v>
      </c>
      <c r="K93" s="38">
        <f t="shared" si="13"/>
        <v>61949.899999999994</v>
      </c>
      <c r="L93" s="38">
        <f t="shared" si="13"/>
        <v>219550.1</v>
      </c>
      <c r="M93" s="16"/>
    </row>
    <row r="94" spans="1:13" ht="32.25" customHeight="1">
      <c r="A94" s="184" t="s">
        <v>132</v>
      </c>
      <c r="B94" s="184" t="s">
        <v>84</v>
      </c>
      <c r="C94" s="184"/>
      <c r="D94" s="184"/>
      <c r="E94" s="184"/>
      <c r="F94" s="184"/>
      <c r="G94" s="184"/>
      <c r="H94" s="184"/>
      <c r="I94" s="184"/>
      <c r="J94" s="184"/>
      <c r="K94" s="184"/>
      <c r="L94" s="184"/>
      <c r="M94" s="16"/>
    </row>
    <row r="95" spans="1:13" ht="32.25" customHeight="1">
      <c r="A95" s="28" t="s">
        <v>11</v>
      </c>
      <c r="B95" s="29" t="s">
        <v>12</v>
      </c>
      <c r="C95" s="29" t="s">
        <v>13</v>
      </c>
      <c r="D95" s="28" t="s">
        <v>14</v>
      </c>
      <c r="E95" s="29" t="s">
        <v>15</v>
      </c>
      <c r="F95" s="28" t="s">
        <v>16</v>
      </c>
      <c r="G95" s="28" t="s">
        <v>17</v>
      </c>
      <c r="H95" s="28" t="s">
        <v>18</v>
      </c>
      <c r="I95" s="28" t="s">
        <v>19</v>
      </c>
      <c r="J95" s="28" t="s">
        <v>20</v>
      </c>
      <c r="K95" s="28" t="s">
        <v>21</v>
      </c>
      <c r="L95" s="28" t="s">
        <v>22</v>
      </c>
      <c r="M95" s="16"/>
    </row>
    <row r="96" spans="1:13" ht="32.25" customHeight="1">
      <c r="A96" s="32">
        <v>52</v>
      </c>
      <c r="B96" s="31" t="s">
        <v>133</v>
      </c>
      <c r="C96" s="31" t="s">
        <v>134</v>
      </c>
      <c r="D96" s="32" t="s">
        <v>29</v>
      </c>
      <c r="E96" s="32" t="s">
        <v>26</v>
      </c>
      <c r="F96" s="34">
        <f>45000+37500</f>
        <v>82500</v>
      </c>
      <c r="G96" s="34">
        <f>1291.5+1076.25</f>
        <v>2367.75</v>
      </c>
      <c r="H96" s="34">
        <f>1148.32+6840.68</f>
        <v>7989</v>
      </c>
      <c r="I96" s="34">
        <f>1368+1140</f>
        <v>2508</v>
      </c>
      <c r="J96" s="34">
        <v>21931.3</v>
      </c>
      <c r="K96" s="34">
        <f>G96+H96+I96+J96</f>
        <v>34796.050000000003</v>
      </c>
      <c r="L96" s="34">
        <f>F96-K96</f>
        <v>47703.95</v>
      </c>
      <c r="M96" s="16"/>
    </row>
    <row r="97" spans="1:13" ht="32.25" customHeight="1">
      <c r="A97" s="7" t="s">
        <v>49</v>
      </c>
      <c r="B97" s="10"/>
      <c r="C97" s="10"/>
      <c r="D97" s="9"/>
      <c r="E97" s="7"/>
      <c r="F97" s="38">
        <f>SUM(F96)</f>
        <v>82500</v>
      </c>
      <c r="G97" s="38">
        <f t="shared" ref="G97:L97" si="14">SUM(G96:G96)</f>
        <v>2367.75</v>
      </c>
      <c r="H97" s="38">
        <f>SUM(H96)</f>
        <v>7989</v>
      </c>
      <c r="I97" s="38">
        <f t="shared" si="14"/>
        <v>2508</v>
      </c>
      <c r="J97" s="38">
        <f t="shared" si="14"/>
        <v>21931.3</v>
      </c>
      <c r="K97" s="38">
        <f t="shared" si="14"/>
        <v>34796.050000000003</v>
      </c>
      <c r="L97" s="38">
        <f t="shared" si="14"/>
        <v>47703.95</v>
      </c>
      <c r="M97" s="16"/>
    </row>
    <row r="98" spans="1:13" ht="32.25" customHeight="1">
      <c r="A98" s="184" t="s">
        <v>135</v>
      </c>
      <c r="B98" s="184"/>
      <c r="C98" s="184"/>
      <c r="D98" s="184"/>
      <c r="E98" s="184"/>
      <c r="F98" s="184"/>
      <c r="G98" s="184"/>
      <c r="H98" s="184"/>
      <c r="I98" s="184"/>
      <c r="J98" s="184"/>
      <c r="K98" s="184"/>
      <c r="L98" s="184"/>
      <c r="M98" s="16"/>
    </row>
    <row r="99" spans="1:13" ht="32.25" customHeight="1">
      <c r="A99" s="28" t="s">
        <v>11</v>
      </c>
      <c r="B99" s="29" t="s">
        <v>12</v>
      </c>
      <c r="C99" s="29" t="s">
        <v>13</v>
      </c>
      <c r="D99" s="28" t="s">
        <v>14</v>
      </c>
      <c r="E99" s="29" t="s">
        <v>15</v>
      </c>
      <c r="F99" s="28" t="s">
        <v>16</v>
      </c>
      <c r="G99" s="28" t="s">
        <v>17</v>
      </c>
      <c r="H99" s="28" t="s">
        <v>18</v>
      </c>
      <c r="I99" s="28" t="s">
        <v>19</v>
      </c>
      <c r="J99" s="28" t="s">
        <v>20</v>
      </c>
      <c r="K99" s="28" t="s">
        <v>21</v>
      </c>
      <c r="L99" s="28" t="s">
        <v>22</v>
      </c>
      <c r="M99" s="16"/>
    </row>
    <row r="100" spans="1:13" ht="32.25" customHeight="1">
      <c r="A100" s="32">
        <v>53</v>
      </c>
      <c r="B100" s="37" t="s">
        <v>136</v>
      </c>
      <c r="C100" s="31" t="s">
        <v>124</v>
      </c>
      <c r="D100" s="32" t="s">
        <v>29</v>
      </c>
      <c r="E100" s="32" t="s">
        <v>41</v>
      </c>
      <c r="F100" s="34">
        <v>25000</v>
      </c>
      <c r="G100" s="34">
        <v>717.5</v>
      </c>
      <c r="H100" s="34">
        <v>0</v>
      </c>
      <c r="I100" s="34">
        <v>760</v>
      </c>
      <c r="J100" s="34">
        <v>325</v>
      </c>
      <c r="K100" s="34">
        <f t="shared" ref="K100:K105" si="15">G100+H100+I100+J100</f>
        <v>1802.5</v>
      </c>
      <c r="L100" s="6">
        <f t="shared" ref="L100:L118" si="16">F100-K100</f>
        <v>23197.5</v>
      </c>
      <c r="M100" s="16"/>
    </row>
    <row r="101" spans="1:13" ht="32.25" customHeight="1">
      <c r="A101" s="32">
        <v>54</v>
      </c>
      <c r="B101" s="37" t="s">
        <v>137</v>
      </c>
      <c r="C101" s="31" t="s">
        <v>48</v>
      </c>
      <c r="D101" s="32" t="s">
        <v>25</v>
      </c>
      <c r="E101" s="32" t="s">
        <v>26</v>
      </c>
      <c r="F101" s="34">
        <v>22000</v>
      </c>
      <c r="G101" s="34">
        <v>631.4</v>
      </c>
      <c r="H101" s="34">
        <v>0</v>
      </c>
      <c r="I101" s="34">
        <v>668.8</v>
      </c>
      <c r="J101" s="34">
        <v>3430.46</v>
      </c>
      <c r="K101" s="34">
        <f t="shared" si="15"/>
        <v>4730.66</v>
      </c>
      <c r="L101" s="6">
        <f t="shared" si="16"/>
        <v>17269.34</v>
      </c>
      <c r="M101" s="16"/>
    </row>
    <row r="102" spans="1:13" ht="32.25" customHeight="1">
      <c r="A102" s="32">
        <v>55</v>
      </c>
      <c r="B102" s="37" t="s">
        <v>138</v>
      </c>
      <c r="C102" s="31" t="s">
        <v>139</v>
      </c>
      <c r="D102" s="32" t="s">
        <v>29</v>
      </c>
      <c r="E102" s="32" t="s">
        <v>41</v>
      </c>
      <c r="F102" s="34">
        <v>75000</v>
      </c>
      <c r="G102" s="34">
        <v>2152.5</v>
      </c>
      <c r="H102" s="34">
        <v>6309.35</v>
      </c>
      <c r="I102" s="34">
        <v>2280</v>
      </c>
      <c r="J102" s="34">
        <v>7730.74</v>
      </c>
      <c r="K102" s="34">
        <f t="shared" si="15"/>
        <v>18472.59</v>
      </c>
      <c r="L102" s="6">
        <f t="shared" si="16"/>
        <v>56527.41</v>
      </c>
      <c r="M102" s="16"/>
    </row>
    <row r="103" spans="1:13" ht="32.25" customHeight="1">
      <c r="A103" s="32">
        <v>56</v>
      </c>
      <c r="B103" s="37" t="s">
        <v>140</v>
      </c>
      <c r="C103" s="31" t="s">
        <v>48</v>
      </c>
      <c r="D103" s="32" t="s">
        <v>25</v>
      </c>
      <c r="E103" s="32" t="s">
        <v>141</v>
      </c>
      <c r="F103" s="34">
        <v>24000</v>
      </c>
      <c r="G103" s="34">
        <v>688.8</v>
      </c>
      <c r="H103" s="34">
        <v>0</v>
      </c>
      <c r="I103" s="34">
        <v>729.6</v>
      </c>
      <c r="J103" s="34">
        <v>17448.13</v>
      </c>
      <c r="K103" s="34">
        <f t="shared" si="15"/>
        <v>18866.530000000002</v>
      </c>
      <c r="L103" s="6">
        <f t="shared" si="16"/>
        <v>5133.4699999999975</v>
      </c>
      <c r="M103" s="16"/>
    </row>
    <row r="104" spans="1:13" ht="32.25" customHeight="1">
      <c r="A104" s="32">
        <v>57</v>
      </c>
      <c r="B104" s="37" t="s">
        <v>142</v>
      </c>
      <c r="C104" s="31" t="s">
        <v>48</v>
      </c>
      <c r="D104" s="32" t="s">
        <v>25</v>
      </c>
      <c r="E104" s="32" t="s">
        <v>41</v>
      </c>
      <c r="F104" s="34">
        <v>22000</v>
      </c>
      <c r="G104" s="34">
        <v>631.4</v>
      </c>
      <c r="H104" s="34">
        <v>0</v>
      </c>
      <c r="I104" s="34">
        <v>668.8</v>
      </c>
      <c r="J104" s="34">
        <v>3465</v>
      </c>
      <c r="K104" s="34">
        <f t="shared" si="15"/>
        <v>4765.2</v>
      </c>
      <c r="L104" s="6">
        <f t="shared" si="16"/>
        <v>17234.8</v>
      </c>
      <c r="M104" s="16"/>
    </row>
    <row r="105" spans="1:13" ht="32.25" customHeight="1">
      <c r="A105" s="32">
        <v>58</v>
      </c>
      <c r="B105" s="31" t="s">
        <v>143</v>
      </c>
      <c r="C105" s="31" t="s">
        <v>48</v>
      </c>
      <c r="D105" s="32" t="s">
        <v>25</v>
      </c>
      <c r="E105" s="32" t="s">
        <v>26</v>
      </c>
      <c r="F105" s="34">
        <v>22000</v>
      </c>
      <c r="G105" s="34">
        <v>631.4</v>
      </c>
      <c r="H105" s="34">
        <v>0</v>
      </c>
      <c r="I105" s="34">
        <v>668.8</v>
      </c>
      <c r="J105" s="34">
        <v>13591.6</v>
      </c>
      <c r="K105" s="34">
        <f t="shared" si="15"/>
        <v>14891.8</v>
      </c>
      <c r="L105" s="6">
        <f t="shared" si="16"/>
        <v>7108.2000000000007</v>
      </c>
      <c r="M105" s="16"/>
    </row>
    <row r="106" spans="1:13" ht="32.25" customHeight="1">
      <c r="A106" s="32">
        <v>59</v>
      </c>
      <c r="B106" s="31" t="s">
        <v>144</v>
      </c>
      <c r="C106" s="31" t="s">
        <v>48</v>
      </c>
      <c r="D106" s="32" t="s">
        <v>25</v>
      </c>
      <c r="E106" s="32" t="s">
        <v>26</v>
      </c>
      <c r="F106" s="34">
        <v>22000</v>
      </c>
      <c r="G106" s="34">
        <v>631.4</v>
      </c>
      <c r="H106" s="34">
        <v>0</v>
      </c>
      <c r="I106" s="34">
        <v>668.8</v>
      </c>
      <c r="J106" s="34">
        <v>9873.6200000000008</v>
      </c>
      <c r="K106" s="34">
        <f>G106+H106+J106+I106</f>
        <v>11173.82</v>
      </c>
      <c r="L106" s="6">
        <f t="shared" si="16"/>
        <v>10826.18</v>
      </c>
      <c r="M106" s="16"/>
    </row>
    <row r="107" spans="1:13" ht="32.25" customHeight="1">
      <c r="A107" s="32">
        <v>60</v>
      </c>
      <c r="B107" s="31" t="s">
        <v>145</v>
      </c>
      <c r="C107" s="31" t="s">
        <v>146</v>
      </c>
      <c r="D107" s="32" t="s">
        <v>25</v>
      </c>
      <c r="E107" s="32" t="s">
        <v>41</v>
      </c>
      <c r="F107" s="34">
        <v>22000</v>
      </c>
      <c r="G107" s="34">
        <v>631.4</v>
      </c>
      <c r="H107" s="34">
        <v>0</v>
      </c>
      <c r="I107" s="34">
        <v>668.8</v>
      </c>
      <c r="J107" s="34">
        <v>4493.9399999999996</v>
      </c>
      <c r="K107" s="34">
        <f>G107+H107+I107+J107</f>
        <v>5794.1399999999994</v>
      </c>
      <c r="L107" s="6">
        <f t="shared" si="16"/>
        <v>16205.86</v>
      </c>
      <c r="M107" s="16"/>
    </row>
    <row r="108" spans="1:13" ht="32.25" customHeight="1">
      <c r="A108" s="32">
        <v>61</v>
      </c>
      <c r="B108" s="37" t="s">
        <v>147</v>
      </c>
      <c r="C108" s="31" t="s">
        <v>148</v>
      </c>
      <c r="D108" s="32" t="s">
        <v>29</v>
      </c>
      <c r="E108" s="32" t="s">
        <v>41</v>
      </c>
      <c r="F108" s="34">
        <v>40000</v>
      </c>
      <c r="G108" s="34">
        <v>1148</v>
      </c>
      <c r="H108" s="34">
        <v>442.65</v>
      </c>
      <c r="I108" s="34">
        <v>1216</v>
      </c>
      <c r="J108" s="34">
        <v>5204</v>
      </c>
      <c r="K108" s="34">
        <f>G108+H108+I108+J108</f>
        <v>8010.65</v>
      </c>
      <c r="L108" s="6">
        <f t="shared" si="16"/>
        <v>31989.35</v>
      </c>
      <c r="M108" s="16"/>
    </row>
    <row r="109" spans="1:13" ht="32.25" customHeight="1">
      <c r="A109" s="32">
        <v>62</v>
      </c>
      <c r="B109" s="37" t="s">
        <v>149</v>
      </c>
      <c r="C109" s="31" t="s">
        <v>150</v>
      </c>
      <c r="D109" s="32" t="s">
        <v>29</v>
      </c>
      <c r="E109" s="32" t="s">
        <v>41</v>
      </c>
      <c r="F109" s="34">
        <v>26000</v>
      </c>
      <c r="G109" s="34">
        <v>746.2</v>
      </c>
      <c r="H109" s="34">
        <v>0</v>
      </c>
      <c r="I109" s="34">
        <v>790.4</v>
      </c>
      <c r="J109" s="34">
        <v>225</v>
      </c>
      <c r="K109" s="34">
        <f>G109+H109+I109+J109</f>
        <v>1761.6</v>
      </c>
      <c r="L109" s="6">
        <f t="shared" si="16"/>
        <v>24238.400000000001</v>
      </c>
      <c r="M109" s="16"/>
    </row>
    <row r="110" spans="1:13" ht="32.25" customHeight="1">
      <c r="A110" s="32">
        <v>63</v>
      </c>
      <c r="B110" s="31" t="s">
        <v>151</v>
      </c>
      <c r="C110" s="31" t="s">
        <v>48</v>
      </c>
      <c r="D110" s="32" t="s">
        <v>29</v>
      </c>
      <c r="E110" s="32" t="s">
        <v>41</v>
      </c>
      <c r="F110" s="34">
        <v>33500</v>
      </c>
      <c r="G110" s="34">
        <v>961.45</v>
      </c>
      <c r="H110" s="34">
        <v>0</v>
      </c>
      <c r="I110" s="34">
        <v>1018.4</v>
      </c>
      <c r="J110" s="34">
        <v>9411.39</v>
      </c>
      <c r="K110" s="34">
        <f>G110+H110+I110+J110</f>
        <v>11391.24</v>
      </c>
      <c r="L110" s="6">
        <f t="shared" si="16"/>
        <v>22108.760000000002</v>
      </c>
      <c r="M110" s="16"/>
    </row>
    <row r="111" spans="1:13" ht="32.25" customHeight="1">
      <c r="A111" s="32">
        <v>64</v>
      </c>
      <c r="B111" s="31" t="s">
        <v>152</v>
      </c>
      <c r="C111" s="31" t="s">
        <v>48</v>
      </c>
      <c r="D111" s="32" t="s">
        <v>29</v>
      </c>
      <c r="E111" s="32" t="s">
        <v>41</v>
      </c>
      <c r="F111" s="34">
        <v>22000</v>
      </c>
      <c r="G111" s="34">
        <v>631.4</v>
      </c>
      <c r="H111" s="34">
        <v>0</v>
      </c>
      <c r="I111" s="34">
        <v>668.8</v>
      </c>
      <c r="J111" s="34">
        <v>3626.3</v>
      </c>
      <c r="K111" s="34">
        <f>G111+H111+I111+J111</f>
        <v>4926.5</v>
      </c>
      <c r="L111" s="6">
        <f t="shared" si="16"/>
        <v>17073.5</v>
      </c>
      <c r="M111" s="16"/>
    </row>
    <row r="112" spans="1:13" ht="32.25" customHeight="1">
      <c r="A112" s="32">
        <v>65</v>
      </c>
      <c r="B112" s="31" t="s">
        <v>153</v>
      </c>
      <c r="C112" s="31" t="s">
        <v>154</v>
      </c>
      <c r="D112" s="32" t="s">
        <v>29</v>
      </c>
      <c r="E112" s="32" t="s">
        <v>41</v>
      </c>
      <c r="F112" s="34">
        <v>22000</v>
      </c>
      <c r="G112" s="34">
        <v>631.4</v>
      </c>
      <c r="H112" s="34">
        <v>0</v>
      </c>
      <c r="I112" s="34">
        <v>668.8</v>
      </c>
      <c r="J112" s="34">
        <v>15055.31</v>
      </c>
      <c r="K112" s="34">
        <f>G112+H112+J112+I112</f>
        <v>16355.509999999998</v>
      </c>
      <c r="L112" s="6">
        <f t="shared" si="16"/>
        <v>5644.4900000000016</v>
      </c>
      <c r="M112" s="16"/>
    </row>
    <row r="113" spans="1:13" ht="32.25" customHeight="1">
      <c r="A113" s="32">
        <v>66</v>
      </c>
      <c r="B113" s="31" t="s">
        <v>155</v>
      </c>
      <c r="C113" s="31" t="s">
        <v>156</v>
      </c>
      <c r="D113" s="32" t="s">
        <v>29</v>
      </c>
      <c r="E113" s="32" t="s">
        <v>41</v>
      </c>
      <c r="F113" s="34">
        <v>24000</v>
      </c>
      <c r="G113" s="34">
        <v>688.8</v>
      </c>
      <c r="H113" s="34">
        <v>0</v>
      </c>
      <c r="I113" s="34">
        <v>729.6</v>
      </c>
      <c r="J113" s="34">
        <v>6757.5</v>
      </c>
      <c r="K113" s="34">
        <f t="shared" ref="K113:K118" si="17">G113+H113+I113+J113</f>
        <v>8175.9</v>
      </c>
      <c r="L113" s="6">
        <f t="shared" si="16"/>
        <v>15824.1</v>
      </c>
      <c r="M113" s="16"/>
    </row>
    <row r="114" spans="1:13" ht="32.25" customHeight="1">
      <c r="A114" s="32">
        <v>67</v>
      </c>
      <c r="B114" s="31" t="s">
        <v>157</v>
      </c>
      <c r="C114" s="31" t="s">
        <v>156</v>
      </c>
      <c r="D114" s="32" t="s">
        <v>29</v>
      </c>
      <c r="E114" s="32" t="s">
        <v>41</v>
      </c>
      <c r="F114" s="34">
        <v>24000</v>
      </c>
      <c r="G114" s="34">
        <v>688.8</v>
      </c>
      <c r="H114" s="34">
        <v>0</v>
      </c>
      <c r="I114" s="34">
        <v>729.6</v>
      </c>
      <c r="J114" s="34">
        <v>13416.63</v>
      </c>
      <c r="K114" s="34">
        <f t="shared" si="17"/>
        <v>14835.029999999999</v>
      </c>
      <c r="L114" s="6">
        <f t="shared" si="16"/>
        <v>9164.9700000000012</v>
      </c>
      <c r="M114" s="16"/>
    </row>
    <row r="115" spans="1:13" ht="32.25" customHeight="1">
      <c r="A115" s="32">
        <v>68</v>
      </c>
      <c r="B115" s="31" t="s">
        <v>158</v>
      </c>
      <c r="C115" s="31" t="s">
        <v>48</v>
      </c>
      <c r="D115" s="32" t="s">
        <v>25</v>
      </c>
      <c r="E115" s="32" t="s">
        <v>41</v>
      </c>
      <c r="F115" s="34">
        <v>18000</v>
      </c>
      <c r="G115" s="34">
        <v>516.6</v>
      </c>
      <c r="H115" s="34">
        <v>0</v>
      </c>
      <c r="I115" s="34">
        <v>547.20000000000005</v>
      </c>
      <c r="J115" s="34">
        <v>1225</v>
      </c>
      <c r="K115" s="34">
        <f t="shared" si="17"/>
        <v>2288.8000000000002</v>
      </c>
      <c r="L115" s="6">
        <f t="shared" si="16"/>
        <v>15711.2</v>
      </c>
      <c r="M115" s="16"/>
    </row>
    <row r="116" spans="1:13" ht="32.25" customHeight="1">
      <c r="A116" s="32">
        <v>69</v>
      </c>
      <c r="B116" s="37" t="s">
        <v>159</v>
      </c>
      <c r="C116" s="31" t="s">
        <v>124</v>
      </c>
      <c r="D116" s="32" t="s">
        <v>29</v>
      </c>
      <c r="E116" s="32" t="s">
        <v>41</v>
      </c>
      <c r="F116" s="34">
        <v>26000</v>
      </c>
      <c r="G116" s="34">
        <v>746.2</v>
      </c>
      <c r="H116" s="34">
        <v>0</v>
      </c>
      <c r="I116" s="34">
        <v>790.4</v>
      </c>
      <c r="J116" s="34">
        <v>5353.35</v>
      </c>
      <c r="K116" s="34">
        <f t="shared" si="17"/>
        <v>6889.9500000000007</v>
      </c>
      <c r="L116" s="6">
        <f t="shared" si="16"/>
        <v>19110.05</v>
      </c>
      <c r="M116" s="16"/>
    </row>
    <row r="117" spans="1:13" ht="32.25" customHeight="1">
      <c r="A117" s="32">
        <v>70</v>
      </c>
      <c r="B117" s="37" t="s">
        <v>160</v>
      </c>
      <c r="C117" s="31" t="s">
        <v>124</v>
      </c>
      <c r="D117" s="32" t="s">
        <v>29</v>
      </c>
      <c r="E117" s="32" t="s">
        <v>41</v>
      </c>
      <c r="F117" s="34">
        <v>26000</v>
      </c>
      <c r="G117" s="34">
        <v>746.2</v>
      </c>
      <c r="H117" s="34">
        <v>0</v>
      </c>
      <c r="I117" s="34">
        <v>790.4</v>
      </c>
      <c r="J117" s="34">
        <v>4688.18</v>
      </c>
      <c r="K117" s="34">
        <f t="shared" si="17"/>
        <v>6224.7800000000007</v>
      </c>
      <c r="L117" s="6">
        <f t="shared" si="16"/>
        <v>19775.22</v>
      </c>
      <c r="M117" s="16"/>
    </row>
    <row r="118" spans="1:13" ht="32.25" customHeight="1">
      <c r="A118" s="32">
        <v>71</v>
      </c>
      <c r="B118" s="37" t="s">
        <v>161</v>
      </c>
      <c r="C118" s="31" t="s">
        <v>124</v>
      </c>
      <c r="D118" s="32" t="s">
        <v>29</v>
      </c>
      <c r="E118" s="32" t="s">
        <v>41</v>
      </c>
      <c r="F118" s="34">
        <v>22000</v>
      </c>
      <c r="G118" s="34">
        <v>631.4</v>
      </c>
      <c r="H118" s="34">
        <v>0</v>
      </c>
      <c r="I118" s="34">
        <v>668.8</v>
      </c>
      <c r="J118" s="34">
        <v>2025</v>
      </c>
      <c r="K118" s="34">
        <f t="shared" si="17"/>
        <v>3325.2</v>
      </c>
      <c r="L118" s="6">
        <f t="shared" si="16"/>
        <v>18674.8</v>
      </c>
      <c r="M118" s="16"/>
    </row>
    <row r="119" spans="1:13" ht="32.25" customHeight="1">
      <c r="A119" s="7" t="s">
        <v>49</v>
      </c>
      <c r="B119" s="8"/>
      <c r="C119" s="8"/>
      <c r="D119" s="9"/>
      <c r="E119" s="7"/>
      <c r="F119" s="49">
        <f t="shared" ref="F119:L119" si="18">SUM(F100:F118)</f>
        <v>517500</v>
      </c>
      <c r="G119" s="49">
        <f t="shared" si="18"/>
        <v>14852.249999999998</v>
      </c>
      <c r="H119" s="49">
        <f t="shared" si="18"/>
        <v>6752</v>
      </c>
      <c r="I119" s="49">
        <f t="shared" si="18"/>
        <v>15732</v>
      </c>
      <c r="J119" s="49">
        <f t="shared" si="18"/>
        <v>127346.15000000002</v>
      </c>
      <c r="K119" s="49">
        <f t="shared" si="18"/>
        <v>164682.40000000002</v>
      </c>
      <c r="L119" s="38">
        <f t="shared" si="18"/>
        <v>352817.59999999992</v>
      </c>
      <c r="M119" s="16"/>
    </row>
    <row r="120" spans="1:13" ht="32.25" customHeight="1">
      <c r="A120" s="184" t="s">
        <v>162</v>
      </c>
      <c r="B120" s="184" t="s">
        <v>84</v>
      </c>
      <c r="C120" s="184"/>
      <c r="D120" s="184"/>
      <c r="E120" s="184"/>
      <c r="F120" s="184"/>
      <c r="G120" s="184"/>
      <c r="H120" s="184"/>
      <c r="I120" s="184"/>
      <c r="J120" s="184"/>
      <c r="K120" s="184"/>
      <c r="L120" s="184"/>
      <c r="M120" s="16"/>
    </row>
    <row r="121" spans="1:13" ht="32.25" customHeight="1">
      <c r="A121" s="28" t="s">
        <v>11</v>
      </c>
      <c r="B121" s="29" t="s">
        <v>12</v>
      </c>
      <c r="C121" s="29" t="s">
        <v>13</v>
      </c>
      <c r="D121" s="28" t="s">
        <v>14</v>
      </c>
      <c r="E121" s="29" t="s">
        <v>15</v>
      </c>
      <c r="F121" s="28" t="s">
        <v>16</v>
      </c>
      <c r="G121" s="28" t="s">
        <v>17</v>
      </c>
      <c r="H121" s="28" t="s">
        <v>18</v>
      </c>
      <c r="I121" s="28" t="s">
        <v>19</v>
      </c>
      <c r="J121" s="28" t="s">
        <v>20</v>
      </c>
      <c r="K121" s="28" t="s">
        <v>21</v>
      </c>
      <c r="L121" s="28" t="s">
        <v>22</v>
      </c>
      <c r="M121" s="16"/>
    </row>
    <row r="122" spans="1:13" ht="32.25" customHeight="1">
      <c r="A122" s="32">
        <v>72</v>
      </c>
      <c r="B122" s="31" t="s">
        <v>163</v>
      </c>
      <c r="C122" s="31" t="s">
        <v>164</v>
      </c>
      <c r="D122" s="32" t="s">
        <v>29</v>
      </c>
      <c r="E122" s="32" t="s">
        <v>41</v>
      </c>
      <c r="F122" s="11">
        <v>40000</v>
      </c>
      <c r="G122" s="11">
        <f>F122*0.0287</f>
        <v>1148</v>
      </c>
      <c r="H122" s="15">
        <v>197.03</v>
      </c>
      <c r="I122" s="34">
        <f>IF(F122&lt;75829.93,F122*0.0304,2305.23)</f>
        <v>1216</v>
      </c>
      <c r="J122" s="11">
        <v>26139.82</v>
      </c>
      <c r="K122" s="11">
        <f>G122+H122+I122+J122</f>
        <v>28700.85</v>
      </c>
      <c r="L122" s="11">
        <f>+F122-K122</f>
        <v>11299.150000000001</v>
      </c>
      <c r="M122" s="16"/>
    </row>
    <row r="123" spans="1:13" ht="32.25" customHeight="1">
      <c r="A123" s="7" t="s">
        <v>49</v>
      </c>
      <c r="B123" s="10"/>
      <c r="C123" s="10"/>
      <c r="D123" s="9"/>
      <c r="E123" s="7"/>
      <c r="F123" s="38">
        <f t="shared" ref="F123:L123" si="19">+SUM(F122)</f>
        <v>40000</v>
      </c>
      <c r="G123" s="38">
        <f t="shared" si="19"/>
        <v>1148</v>
      </c>
      <c r="H123" s="38">
        <f t="shared" si="19"/>
        <v>197.03</v>
      </c>
      <c r="I123" s="38">
        <f t="shared" si="19"/>
        <v>1216</v>
      </c>
      <c r="J123" s="38">
        <f t="shared" si="19"/>
        <v>26139.82</v>
      </c>
      <c r="K123" s="38">
        <f t="shared" si="19"/>
        <v>28700.85</v>
      </c>
      <c r="L123" s="38">
        <f t="shared" si="19"/>
        <v>11299.150000000001</v>
      </c>
      <c r="M123" s="16"/>
    </row>
    <row r="124" spans="1:13" ht="32.25" customHeight="1">
      <c r="A124" s="184" t="s">
        <v>165</v>
      </c>
      <c r="B124" s="184" t="s">
        <v>84</v>
      </c>
      <c r="C124" s="184"/>
      <c r="D124" s="184"/>
      <c r="E124" s="184"/>
      <c r="F124" s="184"/>
      <c r="G124" s="184"/>
      <c r="H124" s="184"/>
      <c r="I124" s="184"/>
      <c r="J124" s="184"/>
      <c r="K124" s="184"/>
      <c r="L124" s="184"/>
      <c r="M124" s="16"/>
    </row>
    <row r="125" spans="1:13" ht="32.25" customHeight="1">
      <c r="A125" s="53" t="s">
        <v>11</v>
      </c>
      <c r="B125" s="54" t="s">
        <v>12</v>
      </c>
      <c r="C125" s="54" t="s">
        <v>13</v>
      </c>
      <c r="D125" s="53" t="s">
        <v>14</v>
      </c>
      <c r="E125" s="54" t="s">
        <v>15</v>
      </c>
      <c r="F125" s="53" t="s">
        <v>16</v>
      </c>
      <c r="G125" s="53" t="s">
        <v>17</v>
      </c>
      <c r="H125" s="53" t="s">
        <v>18</v>
      </c>
      <c r="I125" s="53" t="s">
        <v>19</v>
      </c>
      <c r="J125" s="53" t="s">
        <v>20</v>
      </c>
      <c r="K125" s="53" t="s">
        <v>21</v>
      </c>
      <c r="L125" s="53" t="s">
        <v>22</v>
      </c>
      <c r="M125" s="16"/>
    </row>
    <row r="126" spans="1:13" ht="32.25" customHeight="1">
      <c r="A126" s="30">
        <v>73</v>
      </c>
      <c r="B126" s="55" t="s">
        <v>166</v>
      </c>
      <c r="C126" s="31" t="s">
        <v>88</v>
      </c>
      <c r="D126" s="44" t="s">
        <v>25</v>
      </c>
      <c r="E126" s="32" t="s">
        <v>41</v>
      </c>
      <c r="F126" s="11">
        <v>33500</v>
      </c>
      <c r="G126" s="33">
        <v>961.45</v>
      </c>
      <c r="H126" s="15">
        <v>0</v>
      </c>
      <c r="I126" s="34">
        <v>1018.4</v>
      </c>
      <c r="J126" s="11">
        <v>7755.58</v>
      </c>
      <c r="K126" s="11">
        <f>G126+H126+I126+J126</f>
        <v>9735.43</v>
      </c>
      <c r="L126" s="33">
        <f>F126-K126</f>
        <v>23764.57</v>
      </c>
      <c r="M126" s="16"/>
    </row>
    <row r="127" spans="1:13" ht="32.25" customHeight="1">
      <c r="A127" s="30">
        <v>74</v>
      </c>
      <c r="B127" s="31" t="s">
        <v>167</v>
      </c>
      <c r="C127" s="31" t="s">
        <v>88</v>
      </c>
      <c r="D127" s="32" t="s">
        <v>29</v>
      </c>
      <c r="E127" s="32" t="s">
        <v>41</v>
      </c>
      <c r="F127" s="11">
        <v>45000</v>
      </c>
      <c r="G127" s="11">
        <v>1291.5</v>
      </c>
      <c r="H127" s="34">
        <v>1148.32</v>
      </c>
      <c r="I127" s="11">
        <v>1368</v>
      </c>
      <c r="J127" s="11">
        <v>25</v>
      </c>
      <c r="K127" s="11">
        <f>G127+H127+I127+J127</f>
        <v>3832.8199999999997</v>
      </c>
      <c r="L127" s="11">
        <f>F127-K127</f>
        <v>41167.18</v>
      </c>
      <c r="M127" s="16"/>
    </row>
    <row r="128" spans="1:13" ht="32.25" customHeight="1">
      <c r="A128" s="30">
        <v>75</v>
      </c>
      <c r="B128" s="52" t="s">
        <v>168</v>
      </c>
      <c r="C128" s="52" t="s">
        <v>128</v>
      </c>
      <c r="D128" s="32" t="s">
        <v>25</v>
      </c>
      <c r="E128" s="32" t="s">
        <v>41</v>
      </c>
      <c r="F128" s="11">
        <v>33500</v>
      </c>
      <c r="G128" s="33">
        <v>961.45</v>
      </c>
      <c r="H128" s="15">
        <v>0</v>
      </c>
      <c r="I128" s="34">
        <v>1018.4</v>
      </c>
      <c r="J128" s="11">
        <v>739.5</v>
      </c>
      <c r="K128" s="11">
        <f>SUM(G128:J128)</f>
        <v>2719.35</v>
      </c>
      <c r="L128" s="33">
        <f>F128-K128</f>
        <v>30780.65</v>
      </c>
      <c r="M128" s="16"/>
    </row>
    <row r="129" spans="1:13" ht="32.25" customHeight="1">
      <c r="A129" s="30">
        <v>76</v>
      </c>
      <c r="B129" s="31" t="s">
        <v>169</v>
      </c>
      <c r="C129" s="31" t="s">
        <v>170</v>
      </c>
      <c r="D129" s="32" t="s">
        <v>25</v>
      </c>
      <c r="E129" s="32" t="s">
        <v>41</v>
      </c>
      <c r="F129" s="33">
        <v>60000</v>
      </c>
      <c r="G129" s="33">
        <v>1722</v>
      </c>
      <c r="H129" s="33">
        <v>3486.65</v>
      </c>
      <c r="I129" s="33">
        <v>1824</v>
      </c>
      <c r="J129" s="33">
        <v>11109.88</v>
      </c>
      <c r="K129" s="33">
        <f>J129+I129+H129+G129</f>
        <v>18142.53</v>
      </c>
      <c r="L129" s="33">
        <f>F129-K129</f>
        <v>41857.47</v>
      </c>
      <c r="M129" s="16"/>
    </row>
    <row r="130" spans="1:13" ht="32.25" customHeight="1">
      <c r="A130" s="30">
        <v>77</v>
      </c>
      <c r="B130" s="31" t="s">
        <v>171</v>
      </c>
      <c r="C130" s="31" t="s">
        <v>172</v>
      </c>
      <c r="D130" s="32" t="s">
        <v>29</v>
      </c>
      <c r="E130" s="32" t="s">
        <v>41</v>
      </c>
      <c r="F130" s="34">
        <v>48000</v>
      </c>
      <c r="G130" s="33">
        <v>1377.6</v>
      </c>
      <c r="H130" s="34">
        <v>1571.73</v>
      </c>
      <c r="I130" s="33">
        <v>1459.2</v>
      </c>
      <c r="J130" s="34">
        <v>225</v>
      </c>
      <c r="K130" s="34">
        <f>G130+H130+I130+J130</f>
        <v>4633.53</v>
      </c>
      <c r="L130" s="34">
        <f>F130-K130</f>
        <v>43366.47</v>
      </c>
      <c r="M130" s="16"/>
    </row>
    <row r="131" spans="1:13" ht="32.25" customHeight="1">
      <c r="A131" s="7" t="s">
        <v>49</v>
      </c>
      <c r="B131" s="52"/>
      <c r="C131" s="52"/>
      <c r="D131" s="32"/>
      <c r="E131" s="32"/>
      <c r="F131" s="12">
        <f t="shared" ref="F131:L131" si="20">SUM(F126:F130)</f>
        <v>220000</v>
      </c>
      <c r="G131" s="56">
        <f>SUM(G126:G130)</f>
        <v>6314</v>
      </c>
      <c r="H131" s="38">
        <f t="shared" si="20"/>
        <v>6206.7000000000007</v>
      </c>
      <c r="I131" s="12">
        <f t="shared" si="20"/>
        <v>6688</v>
      </c>
      <c r="J131" s="12">
        <f t="shared" si="20"/>
        <v>19854.96</v>
      </c>
      <c r="K131" s="12">
        <f t="shared" si="20"/>
        <v>39063.659999999996</v>
      </c>
      <c r="L131" s="12">
        <f t="shared" si="20"/>
        <v>180936.34</v>
      </c>
      <c r="M131" s="16"/>
    </row>
    <row r="132" spans="1:13" ht="32.25" customHeight="1">
      <c r="A132" s="54" t="s">
        <v>0</v>
      </c>
      <c r="B132" s="54" t="s">
        <v>173</v>
      </c>
      <c r="C132" s="54" t="s">
        <v>2</v>
      </c>
      <c r="D132" s="54" t="s">
        <v>174</v>
      </c>
      <c r="E132" s="54" t="s">
        <v>4</v>
      </c>
      <c r="F132" s="54" t="s">
        <v>175</v>
      </c>
      <c r="G132" s="54" t="s">
        <v>176</v>
      </c>
      <c r="H132" s="54" t="s">
        <v>177</v>
      </c>
      <c r="I132" s="54" t="s">
        <v>178</v>
      </c>
      <c r="J132" s="54" t="s">
        <v>179</v>
      </c>
      <c r="K132" s="54"/>
      <c r="L132" s="54"/>
      <c r="M132" s="16"/>
    </row>
    <row r="133" spans="1:13" ht="32.25" customHeight="1">
      <c r="A133" s="184" t="s">
        <v>180</v>
      </c>
      <c r="B133" s="184"/>
      <c r="C133" s="184"/>
      <c r="D133" s="184"/>
      <c r="E133" s="184"/>
      <c r="F133" s="184"/>
      <c r="G133" s="184"/>
      <c r="H133" s="184"/>
      <c r="I133" s="184"/>
      <c r="J133" s="184"/>
      <c r="K133" s="184"/>
      <c r="L133" s="184"/>
      <c r="M133" s="16"/>
    </row>
    <row r="134" spans="1:13" ht="32.25" customHeight="1">
      <c r="A134" s="28" t="s">
        <v>11</v>
      </c>
      <c r="B134" s="29" t="s">
        <v>12</v>
      </c>
      <c r="C134" s="29" t="s">
        <v>13</v>
      </c>
      <c r="D134" s="28" t="s">
        <v>14</v>
      </c>
      <c r="E134" s="29" t="s">
        <v>15</v>
      </c>
      <c r="F134" s="28" t="s">
        <v>16</v>
      </c>
      <c r="G134" s="28" t="s">
        <v>17</v>
      </c>
      <c r="H134" s="28" t="s">
        <v>18</v>
      </c>
      <c r="I134" s="28" t="s">
        <v>19</v>
      </c>
      <c r="J134" s="28" t="s">
        <v>20</v>
      </c>
      <c r="K134" s="28" t="s">
        <v>21</v>
      </c>
      <c r="L134" s="28" t="s">
        <v>22</v>
      </c>
      <c r="M134" s="16"/>
    </row>
    <row r="135" spans="1:13" ht="32.25" customHeight="1">
      <c r="A135" s="30">
        <v>78</v>
      </c>
      <c r="B135" s="31" t="s">
        <v>181</v>
      </c>
      <c r="C135" s="31" t="s">
        <v>182</v>
      </c>
      <c r="D135" s="32" t="s">
        <v>25</v>
      </c>
      <c r="E135" s="32" t="s">
        <v>26</v>
      </c>
      <c r="F135" s="33">
        <v>122500</v>
      </c>
      <c r="G135" s="33">
        <v>3515.75</v>
      </c>
      <c r="H135" s="33">
        <v>17398</v>
      </c>
      <c r="I135" s="33">
        <v>3724</v>
      </c>
      <c r="J135" s="33">
        <v>2675</v>
      </c>
      <c r="K135" s="33">
        <f>J135+I135+H135+G135</f>
        <v>27312.75</v>
      </c>
      <c r="L135" s="33">
        <f>F135-K135</f>
        <v>95187.25</v>
      </c>
      <c r="M135" s="16"/>
    </row>
    <row r="136" spans="1:13" ht="32.25" customHeight="1">
      <c r="A136" s="30">
        <v>79</v>
      </c>
      <c r="B136" s="31" t="s">
        <v>183</v>
      </c>
      <c r="C136" s="31" t="s">
        <v>184</v>
      </c>
      <c r="D136" s="32" t="s">
        <v>25</v>
      </c>
      <c r="E136" s="32" t="s">
        <v>26</v>
      </c>
      <c r="F136" s="33">
        <v>60000</v>
      </c>
      <c r="G136" s="33">
        <v>1722</v>
      </c>
      <c r="H136" s="33">
        <v>3486.65</v>
      </c>
      <c r="I136" s="33">
        <v>1824</v>
      </c>
      <c r="J136" s="33">
        <v>2954</v>
      </c>
      <c r="K136" s="33">
        <f>J136+I136+H136+G136</f>
        <v>9986.65</v>
      </c>
      <c r="L136" s="33">
        <f>F136-K136</f>
        <v>50013.35</v>
      </c>
      <c r="M136" s="16"/>
    </row>
    <row r="137" spans="1:13" ht="32.25" customHeight="1">
      <c r="A137" s="30">
        <v>80</v>
      </c>
      <c r="B137" s="31" t="s">
        <v>185</v>
      </c>
      <c r="C137" s="31" t="s">
        <v>186</v>
      </c>
      <c r="D137" s="32" t="s">
        <v>25</v>
      </c>
      <c r="E137" s="32" t="s">
        <v>26</v>
      </c>
      <c r="F137" s="33">
        <v>60000</v>
      </c>
      <c r="G137" s="33">
        <v>1722</v>
      </c>
      <c r="H137" s="33">
        <v>3486.65</v>
      </c>
      <c r="I137" s="33">
        <v>1824</v>
      </c>
      <c r="J137" s="33">
        <v>9830.39</v>
      </c>
      <c r="K137" s="33">
        <f>J137+I137+H137+G137</f>
        <v>16863.04</v>
      </c>
      <c r="L137" s="33">
        <f>F137-K137</f>
        <v>43136.959999999999</v>
      </c>
      <c r="M137" s="16"/>
    </row>
    <row r="138" spans="1:13" ht="32.25" customHeight="1">
      <c r="A138" s="30">
        <v>81</v>
      </c>
      <c r="B138" s="31" t="s">
        <v>187</v>
      </c>
      <c r="C138" s="31" t="s">
        <v>88</v>
      </c>
      <c r="D138" s="32" t="s">
        <v>25</v>
      </c>
      <c r="E138" s="32" t="s">
        <v>41</v>
      </c>
      <c r="F138" s="33">
        <v>35000</v>
      </c>
      <c r="G138" s="33">
        <v>1004.5</v>
      </c>
      <c r="H138" s="33">
        <v>0</v>
      </c>
      <c r="I138" s="33">
        <v>1064</v>
      </c>
      <c r="J138" s="33">
        <v>5105.22</v>
      </c>
      <c r="K138" s="33">
        <f>J138+I138+H138+G138</f>
        <v>7173.72</v>
      </c>
      <c r="L138" s="33">
        <f>F138-K138</f>
        <v>27826.28</v>
      </c>
      <c r="M138" s="16"/>
    </row>
    <row r="139" spans="1:13" ht="32.25" customHeight="1">
      <c r="A139" s="30">
        <v>82</v>
      </c>
      <c r="B139" s="31" t="s">
        <v>188</v>
      </c>
      <c r="C139" s="31" t="s">
        <v>189</v>
      </c>
      <c r="D139" s="32" t="s">
        <v>29</v>
      </c>
      <c r="E139" s="32" t="s">
        <v>41</v>
      </c>
      <c r="F139" s="11">
        <v>44000</v>
      </c>
      <c r="G139" s="33">
        <v>1262.8</v>
      </c>
      <c r="H139" s="11">
        <v>1007.19</v>
      </c>
      <c r="I139" s="33">
        <v>1337.6</v>
      </c>
      <c r="J139" s="11">
        <v>2429.46</v>
      </c>
      <c r="K139" s="11">
        <f>J139+I139+H139+G139</f>
        <v>6037.05</v>
      </c>
      <c r="L139" s="34">
        <f>F139-K139</f>
        <v>37962.949999999997</v>
      </c>
      <c r="M139" s="16"/>
    </row>
    <row r="140" spans="1:13" ht="32.25" customHeight="1">
      <c r="A140" s="7" t="s">
        <v>49</v>
      </c>
      <c r="B140" s="10"/>
      <c r="C140" s="10"/>
      <c r="D140" s="9"/>
      <c r="E140" s="7"/>
      <c r="F140" s="38">
        <f t="shared" ref="F140:L140" si="21">SUM(F135:F139)</f>
        <v>321500</v>
      </c>
      <c r="G140" s="38">
        <f t="shared" si="21"/>
        <v>9227.0499999999993</v>
      </c>
      <c r="H140" s="38">
        <f t="shared" si="21"/>
        <v>25378.49</v>
      </c>
      <c r="I140" s="38">
        <f t="shared" si="21"/>
        <v>9773.6</v>
      </c>
      <c r="J140" s="38">
        <f t="shared" si="21"/>
        <v>22994.07</v>
      </c>
      <c r="K140" s="38">
        <f t="shared" si="21"/>
        <v>67373.210000000006</v>
      </c>
      <c r="L140" s="38">
        <f t="shared" si="21"/>
        <v>254126.78999999998</v>
      </c>
      <c r="M140" s="16"/>
    </row>
    <row r="141" spans="1:13" ht="32.25" customHeight="1">
      <c r="A141" s="184" t="s">
        <v>190</v>
      </c>
      <c r="B141" s="184"/>
      <c r="C141" s="184"/>
      <c r="D141" s="184"/>
      <c r="E141" s="184"/>
      <c r="F141" s="184"/>
      <c r="G141" s="184"/>
      <c r="H141" s="184"/>
      <c r="I141" s="184"/>
      <c r="J141" s="184"/>
      <c r="K141" s="184"/>
      <c r="L141" s="184"/>
      <c r="M141" s="16"/>
    </row>
    <row r="142" spans="1:13" ht="32.25" customHeight="1">
      <c r="A142" s="28" t="s">
        <v>11</v>
      </c>
      <c r="B142" s="29" t="s">
        <v>12</v>
      </c>
      <c r="C142" s="29" t="s">
        <v>13</v>
      </c>
      <c r="D142" s="28" t="s">
        <v>14</v>
      </c>
      <c r="E142" s="29" t="s">
        <v>15</v>
      </c>
      <c r="F142" s="28" t="s">
        <v>16</v>
      </c>
      <c r="G142" s="28" t="s">
        <v>17</v>
      </c>
      <c r="H142" s="28" t="s">
        <v>18</v>
      </c>
      <c r="I142" s="28" t="s">
        <v>19</v>
      </c>
      <c r="J142" s="28" t="s">
        <v>20</v>
      </c>
      <c r="K142" s="28" t="s">
        <v>21</v>
      </c>
      <c r="L142" s="28" t="s">
        <v>22</v>
      </c>
      <c r="M142" s="16"/>
    </row>
    <row r="143" spans="1:13" ht="32.25" customHeight="1">
      <c r="A143" s="30">
        <v>83</v>
      </c>
      <c r="B143" s="31" t="s">
        <v>191</v>
      </c>
      <c r="C143" s="31" t="s">
        <v>192</v>
      </c>
      <c r="D143" s="32" t="s">
        <v>29</v>
      </c>
      <c r="E143" s="32" t="s">
        <v>41</v>
      </c>
      <c r="F143" s="33">
        <f>35000+13000</f>
        <v>48000</v>
      </c>
      <c r="G143" s="33">
        <f>1004.5+373.1</f>
        <v>1377.6</v>
      </c>
      <c r="H143" s="33">
        <v>1057.0899999999999</v>
      </c>
      <c r="I143" s="33">
        <f>395.2+1064</f>
        <v>1459.2</v>
      </c>
      <c r="J143" s="33">
        <v>3755.92</v>
      </c>
      <c r="K143" s="33">
        <f>SUM(G143:J143)</f>
        <v>7649.8099999999995</v>
      </c>
      <c r="L143" s="11">
        <f>F143-K143</f>
        <v>40350.19</v>
      </c>
      <c r="M143" s="16"/>
    </row>
    <row r="144" spans="1:13" ht="32.25" customHeight="1">
      <c r="A144" s="30">
        <v>84</v>
      </c>
      <c r="B144" s="31" t="s">
        <v>193</v>
      </c>
      <c r="C144" s="31" t="s">
        <v>192</v>
      </c>
      <c r="D144" s="32" t="s">
        <v>25</v>
      </c>
      <c r="E144" s="32" t="s">
        <v>41</v>
      </c>
      <c r="F144" s="33">
        <v>37000</v>
      </c>
      <c r="G144" s="33">
        <v>1061.9000000000001</v>
      </c>
      <c r="H144" s="33">
        <v>0</v>
      </c>
      <c r="I144" s="33">
        <v>1124.8</v>
      </c>
      <c r="J144" s="33">
        <v>25</v>
      </c>
      <c r="K144" s="33">
        <f>J144+I144+H144+G144</f>
        <v>2211.6999999999998</v>
      </c>
      <c r="L144" s="11">
        <f t="shared" ref="L144:L148" si="22">F144-K144</f>
        <v>34788.300000000003</v>
      </c>
      <c r="M144" s="16"/>
    </row>
    <row r="145" spans="1:13" ht="32.25" customHeight="1">
      <c r="A145" s="30">
        <v>85</v>
      </c>
      <c r="B145" s="31" t="s">
        <v>194</v>
      </c>
      <c r="C145" s="31" t="s">
        <v>104</v>
      </c>
      <c r="D145" s="32" t="s">
        <v>29</v>
      </c>
      <c r="E145" s="32" t="s">
        <v>41</v>
      </c>
      <c r="F145" s="33">
        <v>33500</v>
      </c>
      <c r="G145" s="33">
        <v>961.45</v>
      </c>
      <c r="H145" s="33">
        <v>0</v>
      </c>
      <c r="I145" s="33">
        <v>1018.4</v>
      </c>
      <c r="J145" s="33">
        <v>25</v>
      </c>
      <c r="K145" s="11">
        <f>G145+H145+I145+J145</f>
        <v>2004.85</v>
      </c>
      <c r="L145" s="33">
        <f t="shared" si="22"/>
        <v>31495.15</v>
      </c>
      <c r="M145" s="16"/>
    </row>
    <row r="146" spans="1:13" ht="32.25" customHeight="1">
      <c r="A146" s="30">
        <v>86</v>
      </c>
      <c r="B146" s="31" t="s">
        <v>195</v>
      </c>
      <c r="C146" s="31" t="s">
        <v>196</v>
      </c>
      <c r="D146" s="32" t="s">
        <v>25</v>
      </c>
      <c r="E146" s="32" t="s">
        <v>26</v>
      </c>
      <c r="F146" s="11">
        <v>60000</v>
      </c>
      <c r="G146" s="33">
        <v>1722</v>
      </c>
      <c r="H146" s="33">
        <v>3143.56</v>
      </c>
      <c r="I146" s="33">
        <v>1824</v>
      </c>
      <c r="J146" s="11">
        <v>3280.46</v>
      </c>
      <c r="K146" s="11">
        <f>G146+H146+I146+J146</f>
        <v>9970.02</v>
      </c>
      <c r="L146" s="33">
        <f t="shared" si="22"/>
        <v>50029.979999999996</v>
      </c>
      <c r="M146" s="16"/>
    </row>
    <row r="147" spans="1:13" ht="32.25" customHeight="1">
      <c r="A147" s="30">
        <v>87</v>
      </c>
      <c r="B147" s="31" t="s">
        <v>197</v>
      </c>
      <c r="C147" s="31" t="s">
        <v>198</v>
      </c>
      <c r="D147" s="32" t="s">
        <v>25</v>
      </c>
      <c r="E147" s="32" t="s">
        <v>26</v>
      </c>
      <c r="F147" s="33">
        <v>122500</v>
      </c>
      <c r="G147" s="33">
        <v>3515.75</v>
      </c>
      <c r="H147" s="33">
        <v>17398</v>
      </c>
      <c r="I147" s="33">
        <v>3724</v>
      </c>
      <c r="J147" s="33">
        <v>1685</v>
      </c>
      <c r="K147" s="11">
        <f>J147+I147+H147+G147</f>
        <v>26322.75</v>
      </c>
      <c r="L147" s="33">
        <f t="shared" si="22"/>
        <v>96177.25</v>
      </c>
      <c r="M147" s="16"/>
    </row>
    <row r="148" spans="1:13" ht="32.25" customHeight="1">
      <c r="A148" s="30">
        <v>88</v>
      </c>
      <c r="B148" s="57" t="s">
        <v>199</v>
      </c>
      <c r="C148" s="40" t="s">
        <v>104</v>
      </c>
      <c r="D148" s="41" t="s">
        <v>25</v>
      </c>
      <c r="E148" s="32" t="s">
        <v>41</v>
      </c>
      <c r="F148" s="33">
        <v>35000</v>
      </c>
      <c r="G148" s="33">
        <v>1004.5</v>
      </c>
      <c r="H148" s="33">
        <v>0</v>
      </c>
      <c r="I148" s="33">
        <v>1064</v>
      </c>
      <c r="J148" s="33">
        <v>3081.75</v>
      </c>
      <c r="K148" s="11">
        <f>J148+I148+H148+G148</f>
        <v>5150.25</v>
      </c>
      <c r="L148" s="33">
        <f t="shared" si="22"/>
        <v>29849.75</v>
      </c>
      <c r="M148" s="16"/>
    </row>
    <row r="149" spans="1:13" ht="32.25" customHeight="1">
      <c r="A149" s="7" t="s">
        <v>49</v>
      </c>
      <c r="B149" s="40"/>
      <c r="C149" s="40"/>
      <c r="D149" s="41"/>
      <c r="E149" s="42"/>
      <c r="F149" s="38">
        <f t="shared" ref="F149:K149" si="23">SUM(F143:F148)</f>
        <v>336000</v>
      </c>
      <c r="G149" s="38">
        <f t="shared" si="23"/>
        <v>9643.2000000000007</v>
      </c>
      <c r="H149" s="38">
        <f t="shared" si="23"/>
        <v>21598.65</v>
      </c>
      <c r="I149" s="38">
        <f t="shared" si="23"/>
        <v>10214.4</v>
      </c>
      <c r="J149" s="38">
        <f t="shared" si="23"/>
        <v>11853.130000000001</v>
      </c>
      <c r="K149" s="38">
        <f t="shared" si="23"/>
        <v>53309.38</v>
      </c>
      <c r="L149" s="38">
        <f>SUM(L143:L148)</f>
        <v>282690.62</v>
      </c>
      <c r="M149" s="16"/>
    </row>
    <row r="150" spans="1:13" ht="32.25" customHeight="1">
      <c r="A150" s="184" t="s">
        <v>200</v>
      </c>
      <c r="B150" s="184"/>
      <c r="C150" s="184"/>
      <c r="D150" s="184"/>
      <c r="E150" s="184"/>
      <c r="F150" s="184"/>
      <c r="G150" s="184"/>
      <c r="H150" s="184"/>
      <c r="I150" s="184"/>
      <c r="J150" s="184"/>
      <c r="K150" s="184"/>
      <c r="L150" s="184"/>
      <c r="M150" s="16"/>
    </row>
    <row r="151" spans="1:13" ht="32.25" customHeight="1">
      <c r="A151" s="28" t="s">
        <v>11</v>
      </c>
      <c r="B151" s="29" t="s">
        <v>12</v>
      </c>
      <c r="C151" s="29" t="s">
        <v>13</v>
      </c>
      <c r="D151" s="28" t="s">
        <v>14</v>
      </c>
      <c r="E151" s="29" t="s">
        <v>15</v>
      </c>
      <c r="F151" s="28" t="s">
        <v>16</v>
      </c>
      <c r="G151" s="28" t="s">
        <v>17</v>
      </c>
      <c r="H151" s="28" t="s">
        <v>18</v>
      </c>
      <c r="I151" s="28" t="s">
        <v>19</v>
      </c>
      <c r="J151" s="28" t="s">
        <v>20</v>
      </c>
      <c r="K151" s="28" t="s">
        <v>21</v>
      </c>
      <c r="L151" s="28" t="s">
        <v>22</v>
      </c>
      <c r="M151" s="16"/>
    </row>
    <row r="152" spans="1:13" ht="43.5" customHeight="1">
      <c r="A152" s="32">
        <v>89</v>
      </c>
      <c r="B152" s="36" t="s">
        <v>201</v>
      </c>
      <c r="C152" s="36" t="s">
        <v>202</v>
      </c>
      <c r="D152" s="32" t="s">
        <v>25</v>
      </c>
      <c r="E152" s="35" t="s">
        <v>26</v>
      </c>
      <c r="F152" s="33">
        <v>60000</v>
      </c>
      <c r="G152" s="33">
        <f>F152*0.0287</f>
        <v>1722</v>
      </c>
      <c r="H152" s="33">
        <v>3143.56</v>
      </c>
      <c r="I152" s="33">
        <f>IF(F152&lt;75829.93,F152*0.0304,2305.23)</f>
        <v>1824</v>
      </c>
      <c r="J152" s="33">
        <v>3300.46</v>
      </c>
      <c r="K152" s="33">
        <v>9990.02</v>
      </c>
      <c r="L152" s="33">
        <f>+F152-K152</f>
        <v>50009.979999999996</v>
      </c>
      <c r="M152" s="16"/>
    </row>
    <row r="153" spans="1:13" ht="41.25" customHeight="1">
      <c r="A153" s="32">
        <v>90</v>
      </c>
      <c r="B153" s="31" t="s">
        <v>203</v>
      </c>
      <c r="C153" s="31" t="s">
        <v>204</v>
      </c>
      <c r="D153" s="32" t="s">
        <v>25</v>
      </c>
      <c r="E153" s="32" t="s">
        <v>26</v>
      </c>
      <c r="F153" s="11">
        <v>65000</v>
      </c>
      <c r="G153" s="11">
        <f>F153*0.0287</f>
        <v>1865.5</v>
      </c>
      <c r="H153" s="33">
        <v>4427.55</v>
      </c>
      <c r="I153" s="11">
        <v>1976</v>
      </c>
      <c r="J153" s="11">
        <v>225</v>
      </c>
      <c r="K153" s="11">
        <f>+G153+I153+H153+J153</f>
        <v>8494.0499999999993</v>
      </c>
      <c r="L153" s="11">
        <f>+F153-K153</f>
        <v>56505.95</v>
      </c>
      <c r="M153" s="16"/>
    </row>
    <row r="154" spans="1:13" ht="32.25" customHeight="1">
      <c r="A154" s="32">
        <v>91</v>
      </c>
      <c r="B154" s="31" t="s">
        <v>205</v>
      </c>
      <c r="C154" s="31" t="s">
        <v>104</v>
      </c>
      <c r="D154" s="32" t="s">
        <v>25</v>
      </c>
      <c r="E154" s="32" t="s">
        <v>41</v>
      </c>
      <c r="F154" s="33">
        <v>37000</v>
      </c>
      <c r="G154" s="33">
        <f>F154*0.0287</f>
        <v>1061.9000000000001</v>
      </c>
      <c r="H154" s="33">
        <v>0</v>
      </c>
      <c r="I154" s="33">
        <f>IF(F154&lt;75829.93,F154*0.0304,2305.23)</f>
        <v>1124.8</v>
      </c>
      <c r="J154" s="33">
        <v>965</v>
      </c>
      <c r="K154" s="11">
        <f>+G154+I154+H154+J154</f>
        <v>3151.7</v>
      </c>
      <c r="L154" s="33">
        <f>+F154-K154</f>
        <v>33848.300000000003</v>
      </c>
      <c r="M154" s="16"/>
    </row>
    <row r="155" spans="1:13" ht="32.25" customHeight="1">
      <c r="A155" s="7" t="s">
        <v>49</v>
      </c>
      <c r="B155" s="40"/>
      <c r="C155" s="40"/>
      <c r="D155" s="41"/>
      <c r="E155" s="42"/>
      <c r="F155" s="38">
        <f t="shared" ref="F155:J155" si="24">SUM(F152:F154)</f>
        <v>162000</v>
      </c>
      <c r="G155" s="58">
        <f t="shared" si="24"/>
        <v>4649.3999999999996</v>
      </c>
      <c r="H155" s="38">
        <f t="shared" si="24"/>
        <v>7571.1100000000006</v>
      </c>
      <c r="I155" s="38">
        <f t="shared" si="24"/>
        <v>4924.8</v>
      </c>
      <c r="J155" s="38">
        <f t="shared" si="24"/>
        <v>4490.46</v>
      </c>
      <c r="K155" s="38">
        <f>J155+I155+H155+G155</f>
        <v>21635.770000000004</v>
      </c>
      <c r="L155" s="38">
        <f>F155-K155</f>
        <v>140364.22999999998</v>
      </c>
    </row>
    <row r="156" spans="1:13" ht="32.25" customHeight="1">
      <c r="A156" s="184" t="s">
        <v>206</v>
      </c>
      <c r="B156" s="184"/>
      <c r="C156" s="184"/>
      <c r="D156" s="184"/>
      <c r="E156" s="184"/>
      <c r="F156" s="184"/>
      <c r="G156" s="184"/>
      <c r="H156" s="184"/>
      <c r="I156" s="184"/>
      <c r="J156" s="184"/>
      <c r="K156" s="184"/>
      <c r="L156" s="184"/>
      <c r="M156" s="16"/>
    </row>
    <row r="157" spans="1:13" ht="32.25" customHeight="1">
      <c r="A157" s="28" t="s">
        <v>11</v>
      </c>
      <c r="B157" s="29" t="s">
        <v>12</v>
      </c>
      <c r="C157" s="29" t="s">
        <v>13</v>
      </c>
      <c r="D157" s="28" t="s">
        <v>14</v>
      </c>
      <c r="E157" s="29" t="s">
        <v>15</v>
      </c>
      <c r="F157" s="28" t="s">
        <v>16</v>
      </c>
      <c r="G157" s="28" t="s">
        <v>17</v>
      </c>
      <c r="H157" s="28" t="s">
        <v>18</v>
      </c>
      <c r="I157" s="28" t="s">
        <v>19</v>
      </c>
      <c r="J157" s="28" t="s">
        <v>20</v>
      </c>
      <c r="K157" s="28" t="s">
        <v>21</v>
      </c>
      <c r="L157" s="28" t="s">
        <v>22</v>
      </c>
      <c r="M157" s="16"/>
    </row>
    <row r="158" spans="1:13" ht="32.25" customHeight="1">
      <c r="A158" s="32">
        <v>92</v>
      </c>
      <c r="B158" s="31" t="s">
        <v>207</v>
      </c>
      <c r="C158" s="31" t="s">
        <v>196</v>
      </c>
      <c r="D158" s="32" t="s">
        <v>25</v>
      </c>
      <c r="E158" s="32" t="s">
        <v>26</v>
      </c>
      <c r="F158" s="59">
        <v>60000</v>
      </c>
      <c r="G158" s="59">
        <v>1722</v>
      </c>
      <c r="H158" s="59">
        <v>3486.65</v>
      </c>
      <c r="I158" s="59">
        <v>1824</v>
      </c>
      <c r="J158" s="59">
        <v>325</v>
      </c>
      <c r="K158" s="59">
        <f>J158+I158+H158+G158</f>
        <v>7357.65</v>
      </c>
      <c r="L158" s="59">
        <f t="shared" ref="L158:L167" si="25">F158-K158</f>
        <v>52642.35</v>
      </c>
      <c r="M158" s="16"/>
    </row>
    <row r="159" spans="1:13" ht="32.25" customHeight="1">
      <c r="A159" s="32">
        <v>93</v>
      </c>
      <c r="B159" s="31" t="s">
        <v>208</v>
      </c>
      <c r="C159" s="31" t="s">
        <v>196</v>
      </c>
      <c r="D159" s="32" t="s">
        <v>29</v>
      </c>
      <c r="E159" s="32" t="s">
        <v>26</v>
      </c>
      <c r="F159" s="59">
        <v>65000</v>
      </c>
      <c r="G159" s="59">
        <v>1865.5</v>
      </c>
      <c r="H159" s="59">
        <v>4427.55</v>
      </c>
      <c r="I159" s="59">
        <v>1976</v>
      </c>
      <c r="J159" s="59">
        <v>6871.1</v>
      </c>
      <c r="K159" s="59">
        <f>J159+I159+H159+G159</f>
        <v>15140.150000000001</v>
      </c>
      <c r="L159" s="59">
        <f t="shared" si="25"/>
        <v>49859.85</v>
      </c>
      <c r="M159" s="16"/>
    </row>
    <row r="160" spans="1:13" ht="32.25" customHeight="1">
      <c r="A160" s="32">
        <v>94</v>
      </c>
      <c r="B160" s="31" t="s">
        <v>209</v>
      </c>
      <c r="C160" s="31" t="s">
        <v>196</v>
      </c>
      <c r="D160" s="32" t="s">
        <v>29</v>
      </c>
      <c r="E160" s="32" t="s">
        <v>26</v>
      </c>
      <c r="F160" s="59">
        <v>60000</v>
      </c>
      <c r="G160" s="59">
        <v>1722</v>
      </c>
      <c r="H160" s="59">
        <v>2800.47</v>
      </c>
      <c r="I160" s="59">
        <v>1824</v>
      </c>
      <c r="J160" s="59">
        <v>15801.64</v>
      </c>
      <c r="K160" s="59">
        <f>G160+J160+I160+H160</f>
        <v>22148.11</v>
      </c>
      <c r="L160" s="59">
        <f t="shared" si="25"/>
        <v>37851.89</v>
      </c>
      <c r="M160" s="16"/>
    </row>
    <row r="161" spans="1:13" ht="32.25" customHeight="1">
      <c r="A161" s="32">
        <v>95</v>
      </c>
      <c r="B161" s="31" t="s">
        <v>210</v>
      </c>
      <c r="C161" s="31" t="s">
        <v>211</v>
      </c>
      <c r="D161" s="32" t="s">
        <v>25</v>
      </c>
      <c r="E161" s="32" t="s">
        <v>26</v>
      </c>
      <c r="F161" s="59">
        <v>33500</v>
      </c>
      <c r="G161" s="59">
        <v>961.45</v>
      </c>
      <c r="H161" s="59">
        <v>0</v>
      </c>
      <c r="I161" s="59">
        <v>1018.4</v>
      </c>
      <c r="J161" s="59">
        <v>3555.92</v>
      </c>
      <c r="K161" s="59">
        <f t="shared" ref="K161:K167" si="26">J161+I161+H161+G161</f>
        <v>5535.7699999999995</v>
      </c>
      <c r="L161" s="59">
        <f t="shared" si="25"/>
        <v>27964.23</v>
      </c>
      <c r="M161" s="16"/>
    </row>
    <row r="162" spans="1:13" ht="32.25" customHeight="1">
      <c r="A162" s="32">
        <v>96</v>
      </c>
      <c r="B162" s="31" t="s">
        <v>212</v>
      </c>
      <c r="C162" s="31" t="s">
        <v>196</v>
      </c>
      <c r="D162" s="32" t="s">
        <v>25</v>
      </c>
      <c r="E162" s="32" t="s">
        <v>41</v>
      </c>
      <c r="F162" s="59">
        <v>60000</v>
      </c>
      <c r="G162" s="59">
        <v>1722</v>
      </c>
      <c r="H162" s="59">
        <v>2800.47</v>
      </c>
      <c r="I162" s="59">
        <v>1824</v>
      </c>
      <c r="J162" s="59">
        <v>12444.54</v>
      </c>
      <c r="K162" s="59">
        <f t="shared" si="26"/>
        <v>18791.010000000002</v>
      </c>
      <c r="L162" s="59">
        <f t="shared" si="25"/>
        <v>41208.99</v>
      </c>
      <c r="M162" s="16"/>
    </row>
    <row r="163" spans="1:13" ht="32.25" customHeight="1">
      <c r="A163" s="32">
        <v>97</v>
      </c>
      <c r="B163" s="31" t="s">
        <v>213</v>
      </c>
      <c r="C163" s="31" t="s">
        <v>196</v>
      </c>
      <c r="D163" s="32" t="s">
        <v>29</v>
      </c>
      <c r="E163" s="32" t="s">
        <v>41</v>
      </c>
      <c r="F163" s="59">
        <v>60000</v>
      </c>
      <c r="G163" s="59">
        <v>1722</v>
      </c>
      <c r="H163" s="59">
        <v>3486.65</v>
      </c>
      <c r="I163" s="59">
        <v>1824</v>
      </c>
      <c r="J163" s="59">
        <v>1525</v>
      </c>
      <c r="K163" s="59">
        <f t="shared" si="26"/>
        <v>8557.65</v>
      </c>
      <c r="L163" s="59">
        <f t="shared" si="25"/>
        <v>51442.35</v>
      </c>
      <c r="M163" s="16"/>
    </row>
    <row r="164" spans="1:13" ht="32.25" customHeight="1">
      <c r="A164" s="32">
        <v>98</v>
      </c>
      <c r="B164" s="37" t="s">
        <v>214</v>
      </c>
      <c r="C164" s="31" t="s">
        <v>215</v>
      </c>
      <c r="D164" s="32" t="s">
        <v>29</v>
      </c>
      <c r="E164" s="32" t="s">
        <v>41</v>
      </c>
      <c r="F164" s="59">
        <f>55000+67500</f>
        <v>122500</v>
      </c>
      <c r="G164" s="59">
        <f>1578+1937.75</f>
        <v>3515.75</v>
      </c>
      <c r="H164" s="59">
        <f>2559.67+14838.33</f>
        <v>17398</v>
      </c>
      <c r="I164" s="59">
        <f>1672+2052</f>
        <v>3724</v>
      </c>
      <c r="J164" s="59">
        <v>17252.48</v>
      </c>
      <c r="K164" s="59">
        <f>J164+I164+H164+G164</f>
        <v>41890.229999999996</v>
      </c>
      <c r="L164" s="59">
        <f>F164-K164</f>
        <v>80609.77</v>
      </c>
      <c r="M164" s="16"/>
    </row>
    <row r="165" spans="1:13" ht="32.25" customHeight="1">
      <c r="A165" s="32">
        <v>99</v>
      </c>
      <c r="B165" s="31" t="s">
        <v>216</v>
      </c>
      <c r="C165" s="31" t="s">
        <v>217</v>
      </c>
      <c r="D165" s="32" t="s">
        <v>29</v>
      </c>
      <c r="E165" s="32" t="s">
        <v>41</v>
      </c>
      <c r="F165" s="59">
        <v>35000</v>
      </c>
      <c r="G165" s="59">
        <v>1004.5</v>
      </c>
      <c r="H165" s="59">
        <v>0</v>
      </c>
      <c r="I165" s="59">
        <v>1064</v>
      </c>
      <c r="J165" s="59">
        <v>25</v>
      </c>
      <c r="K165" s="59">
        <f t="shared" si="26"/>
        <v>2093.5</v>
      </c>
      <c r="L165" s="59">
        <f t="shared" si="25"/>
        <v>32906.5</v>
      </c>
      <c r="M165" s="16"/>
    </row>
    <row r="166" spans="1:13" ht="32.25" customHeight="1">
      <c r="A166" s="32">
        <v>100</v>
      </c>
      <c r="B166" s="31" t="s">
        <v>218</v>
      </c>
      <c r="C166" s="31" t="s">
        <v>104</v>
      </c>
      <c r="D166" s="32" t="s">
        <v>25</v>
      </c>
      <c r="E166" s="32" t="s">
        <v>41</v>
      </c>
      <c r="F166" s="45">
        <v>35000</v>
      </c>
      <c r="G166" s="59">
        <v>1004.5</v>
      </c>
      <c r="H166" s="59">
        <v>0</v>
      </c>
      <c r="I166" s="59">
        <v>1064</v>
      </c>
      <c r="J166" s="59">
        <v>725</v>
      </c>
      <c r="K166" s="59">
        <f t="shared" si="26"/>
        <v>2793.5</v>
      </c>
      <c r="L166" s="59">
        <f t="shared" si="25"/>
        <v>32206.5</v>
      </c>
      <c r="M166" s="16"/>
    </row>
    <row r="167" spans="1:13" ht="32.25" customHeight="1">
      <c r="A167" s="32">
        <v>101</v>
      </c>
      <c r="B167" s="31" t="s">
        <v>219</v>
      </c>
      <c r="C167" s="31" t="s">
        <v>196</v>
      </c>
      <c r="D167" s="32" t="s">
        <v>29</v>
      </c>
      <c r="E167" s="32" t="s">
        <v>26</v>
      </c>
      <c r="F167" s="33">
        <v>60000</v>
      </c>
      <c r="G167" s="33">
        <v>1722</v>
      </c>
      <c r="H167" s="33">
        <v>3143.56</v>
      </c>
      <c r="I167" s="33">
        <v>1824</v>
      </c>
      <c r="J167" s="33">
        <v>2040.46</v>
      </c>
      <c r="K167" s="33">
        <f t="shared" si="26"/>
        <v>8730.02</v>
      </c>
      <c r="L167" s="33">
        <f t="shared" si="25"/>
        <v>51269.979999999996</v>
      </c>
      <c r="M167" s="16"/>
    </row>
    <row r="168" spans="1:13" ht="32.25" customHeight="1">
      <c r="A168" s="32">
        <v>102</v>
      </c>
      <c r="B168" s="31" t="s">
        <v>220</v>
      </c>
      <c r="C168" s="31" t="s">
        <v>130</v>
      </c>
      <c r="D168" s="44" t="s">
        <v>25</v>
      </c>
      <c r="E168" s="32" t="s">
        <v>41</v>
      </c>
      <c r="F168" s="34">
        <v>37000</v>
      </c>
      <c r="G168" s="34">
        <v>1061.9000000000001</v>
      </c>
      <c r="H168" s="34">
        <v>19.239999999999998</v>
      </c>
      <c r="I168" s="34">
        <v>1124.8</v>
      </c>
      <c r="J168" s="34">
        <v>11323.97</v>
      </c>
      <c r="K168" s="34">
        <f>G168+H168+I168+J168</f>
        <v>13529.91</v>
      </c>
      <c r="L168" s="34">
        <f>F168-K168</f>
        <v>23470.09</v>
      </c>
      <c r="M168" s="5"/>
    </row>
    <row r="169" spans="1:13" ht="32.25" customHeight="1">
      <c r="A169" s="60" t="s">
        <v>49</v>
      </c>
      <c r="B169" s="61"/>
      <c r="C169" s="61"/>
      <c r="D169" s="62"/>
      <c r="E169" s="60"/>
      <c r="F169" s="63">
        <f t="shared" ref="F169:L169" si="27">SUM(F158:F168)</f>
        <v>628000</v>
      </c>
      <c r="G169" s="64">
        <f t="shared" si="27"/>
        <v>18023.600000000002</v>
      </c>
      <c r="H169" s="63">
        <f t="shared" si="27"/>
        <v>37562.589999999997</v>
      </c>
      <c r="I169" s="63">
        <f t="shared" si="27"/>
        <v>19091.2</v>
      </c>
      <c r="J169" s="63">
        <f t="shared" si="27"/>
        <v>71890.109999999986</v>
      </c>
      <c r="K169" s="63">
        <f t="shared" si="27"/>
        <v>146567.5</v>
      </c>
      <c r="L169" s="63">
        <f t="shared" si="27"/>
        <v>481432.5</v>
      </c>
      <c r="M169" s="16"/>
    </row>
    <row r="170" spans="1:13" ht="32.25" customHeight="1">
      <c r="A170" s="187" t="s">
        <v>221</v>
      </c>
      <c r="B170" s="187"/>
      <c r="C170" s="187"/>
      <c r="D170" s="187"/>
      <c r="E170" s="187"/>
      <c r="F170" s="187"/>
      <c r="G170" s="187"/>
      <c r="H170" s="187"/>
      <c r="I170" s="187"/>
      <c r="J170" s="187"/>
      <c r="K170" s="187"/>
      <c r="L170" s="187"/>
      <c r="M170" s="16"/>
    </row>
    <row r="171" spans="1:13" ht="32.25" customHeight="1">
      <c r="A171" s="65" t="s">
        <v>11</v>
      </c>
      <c r="B171" s="66" t="s">
        <v>12</v>
      </c>
      <c r="C171" s="66" t="s">
        <v>13</v>
      </c>
      <c r="D171" s="65" t="s">
        <v>14</v>
      </c>
      <c r="E171" s="66" t="s">
        <v>15</v>
      </c>
      <c r="F171" s="65" t="s">
        <v>16</v>
      </c>
      <c r="G171" s="65" t="s">
        <v>17</v>
      </c>
      <c r="H171" s="65" t="s">
        <v>18</v>
      </c>
      <c r="I171" s="65" t="s">
        <v>19</v>
      </c>
      <c r="J171" s="65" t="s">
        <v>20</v>
      </c>
      <c r="K171" s="65" t="s">
        <v>21</v>
      </c>
      <c r="L171" s="65" t="s">
        <v>22</v>
      </c>
      <c r="M171" s="16"/>
    </row>
    <row r="172" spans="1:13" ht="32.25" customHeight="1">
      <c r="A172" s="32">
        <v>103</v>
      </c>
      <c r="B172" s="31" t="s">
        <v>222</v>
      </c>
      <c r="C172" s="31" t="s">
        <v>104</v>
      </c>
      <c r="D172" s="32" t="s">
        <v>29</v>
      </c>
      <c r="E172" s="32" t="s">
        <v>41</v>
      </c>
      <c r="F172" s="34">
        <v>37000</v>
      </c>
      <c r="G172" s="34">
        <v>1061.9000000000001</v>
      </c>
      <c r="H172" s="34">
        <v>19.239999999999998</v>
      </c>
      <c r="I172" s="34">
        <v>1124.8</v>
      </c>
      <c r="J172" s="34">
        <v>5503.75</v>
      </c>
      <c r="K172" s="34">
        <f>J172+I172+H172+G172</f>
        <v>7709.6900000000005</v>
      </c>
      <c r="L172" s="34">
        <f t="shared" ref="L172:L177" si="28">F172-K172</f>
        <v>29290.309999999998</v>
      </c>
      <c r="M172" s="16"/>
    </row>
    <row r="173" spans="1:13" ht="32.25" customHeight="1">
      <c r="A173" s="32">
        <v>104</v>
      </c>
      <c r="B173" s="31" t="s">
        <v>223</v>
      </c>
      <c r="C173" s="31" t="s">
        <v>130</v>
      </c>
      <c r="D173" s="44" t="s">
        <v>25</v>
      </c>
      <c r="E173" s="32" t="s">
        <v>41</v>
      </c>
      <c r="F173" s="34">
        <v>30000</v>
      </c>
      <c r="G173" s="34">
        <v>861</v>
      </c>
      <c r="H173" s="34">
        <v>0</v>
      </c>
      <c r="I173" s="34">
        <v>912</v>
      </c>
      <c r="J173" s="34">
        <v>6297.41</v>
      </c>
      <c r="K173" s="34">
        <f>J173+I173+H173+G173</f>
        <v>8070.41</v>
      </c>
      <c r="L173" s="34">
        <f t="shared" si="28"/>
        <v>21929.59</v>
      </c>
      <c r="M173" s="16"/>
    </row>
    <row r="174" spans="1:13" ht="32.25" customHeight="1">
      <c r="A174" s="32">
        <v>105</v>
      </c>
      <c r="B174" s="31" t="s">
        <v>224</v>
      </c>
      <c r="C174" s="31" t="s">
        <v>104</v>
      </c>
      <c r="D174" s="44" t="s">
        <v>29</v>
      </c>
      <c r="E174" s="32" t="s">
        <v>41</v>
      </c>
      <c r="F174" s="34">
        <v>37000</v>
      </c>
      <c r="G174" s="34">
        <v>1061.9000000000001</v>
      </c>
      <c r="H174" s="34">
        <v>19.239999999999998</v>
      </c>
      <c r="I174" s="34">
        <v>1124.8</v>
      </c>
      <c r="J174" s="34">
        <v>25</v>
      </c>
      <c r="K174" s="34">
        <f>G174+H174+I174+J174</f>
        <v>2230.94</v>
      </c>
      <c r="L174" s="34">
        <f t="shared" si="28"/>
        <v>34769.06</v>
      </c>
      <c r="M174" s="16"/>
    </row>
    <row r="175" spans="1:13" ht="32.25" customHeight="1">
      <c r="A175" s="32">
        <v>106</v>
      </c>
      <c r="B175" s="31" t="s">
        <v>225</v>
      </c>
      <c r="C175" s="31" t="s">
        <v>104</v>
      </c>
      <c r="D175" s="44" t="s">
        <v>25</v>
      </c>
      <c r="E175" s="32" t="s">
        <v>41</v>
      </c>
      <c r="F175" s="34">
        <v>33500</v>
      </c>
      <c r="G175" s="34">
        <v>961.45</v>
      </c>
      <c r="H175" s="34">
        <v>0</v>
      </c>
      <c r="I175" s="34">
        <v>1018.4</v>
      </c>
      <c r="J175" s="34">
        <v>3509.82</v>
      </c>
      <c r="K175" s="34">
        <f>G175+H175+I175+J175</f>
        <v>5489.67</v>
      </c>
      <c r="L175" s="34">
        <f t="shared" si="28"/>
        <v>28010.33</v>
      </c>
      <c r="M175" s="16"/>
    </row>
    <row r="176" spans="1:13" ht="32.25" customHeight="1">
      <c r="A176" s="32">
        <v>107</v>
      </c>
      <c r="B176" s="31" t="s">
        <v>226</v>
      </c>
      <c r="C176" s="31" t="s">
        <v>227</v>
      </c>
      <c r="D176" s="44" t="s">
        <v>25</v>
      </c>
      <c r="E176" s="32" t="s">
        <v>41</v>
      </c>
      <c r="F176" s="34">
        <v>70000</v>
      </c>
      <c r="G176" s="34">
        <v>2009</v>
      </c>
      <c r="H176" s="34">
        <v>5025.3599999999997</v>
      </c>
      <c r="I176" s="34">
        <v>2128</v>
      </c>
      <c r="J176" s="34">
        <v>1740.46</v>
      </c>
      <c r="K176" s="34">
        <f>J176+I176+H176+G176</f>
        <v>10902.82</v>
      </c>
      <c r="L176" s="34">
        <f t="shared" si="28"/>
        <v>59097.18</v>
      </c>
      <c r="M176" s="16"/>
    </row>
    <row r="177" spans="1:13" ht="32.25" customHeight="1">
      <c r="A177" s="32">
        <v>108</v>
      </c>
      <c r="B177" s="55" t="s">
        <v>228</v>
      </c>
      <c r="C177" s="31" t="s">
        <v>229</v>
      </c>
      <c r="D177" s="44" t="s">
        <v>25</v>
      </c>
      <c r="E177" s="32" t="s">
        <v>41</v>
      </c>
      <c r="F177" s="34">
        <v>55000</v>
      </c>
      <c r="G177" s="34">
        <v>1578.5</v>
      </c>
      <c r="H177" s="34">
        <v>2559.67</v>
      </c>
      <c r="I177" s="34">
        <v>1672</v>
      </c>
      <c r="J177" s="34">
        <v>25</v>
      </c>
      <c r="K177" s="34">
        <f>G177+H177+I177+J177</f>
        <v>5835.17</v>
      </c>
      <c r="L177" s="34">
        <f t="shared" si="28"/>
        <v>49164.83</v>
      </c>
      <c r="M177" s="16"/>
    </row>
    <row r="178" spans="1:13" ht="32.25" customHeight="1">
      <c r="A178" s="32">
        <v>109</v>
      </c>
      <c r="B178" s="37" t="s">
        <v>230</v>
      </c>
      <c r="C178" s="31" t="s">
        <v>130</v>
      </c>
      <c r="D178" s="44" t="s">
        <v>25</v>
      </c>
      <c r="E178" s="32" t="s">
        <v>26</v>
      </c>
      <c r="F178" s="34">
        <v>37000</v>
      </c>
      <c r="G178" s="34">
        <v>1061.9000000000001</v>
      </c>
      <c r="H178" s="34">
        <v>0</v>
      </c>
      <c r="I178" s="34">
        <v>1124.8</v>
      </c>
      <c r="J178" s="34">
        <v>25710.74</v>
      </c>
      <c r="K178" s="34">
        <f>G178+H178+I178+J178</f>
        <v>27897.440000000002</v>
      </c>
      <c r="L178" s="34">
        <f>F178-K178</f>
        <v>9102.5599999999977</v>
      </c>
      <c r="M178" s="5"/>
    </row>
    <row r="179" spans="1:13" ht="32.25" customHeight="1">
      <c r="A179" s="60" t="s">
        <v>49</v>
      </c>
      <c r="B179" s="67"/>
      <c r="C179" s="67"/>
      <c r="D179" s="62"/>
      <c r="E179" s="60"/>
      <c r="F179" s="49">
        <f t="shared" ref="F179:L179" si="29">SUM(F172:F178)</f>
        <v>299500</v>
      </c>
      <c r="G179" s="68">
        <f t="shared" si="29"/>
        <v>8595.65</v>
      </c>
      <c r="H179" s="49">
        <f t="shared" si="29"/>
        <v>7623.5099999999993</v>
      </c>
      <c r="I179" s="49">
        <f t="shared" si="29"/>
        <v>9104.7999999999993</v>
      </c>
      <c r="J179" s="49">
        <f t="shared" si="29"/>
        <v>42812.18</v>
      </c>
      <c r="K179" s="49">
        <f t="shared" si="29"/>
        <v>68136.14</v>
      </c>
      <c r="L179" s="49">
        <f t="shared" si="29"/>
        <v>231363.86</v>
      </c>
      <c r="M179" s="16"/>
    </row>
    <row r="180" spans="1:13" ht="32.25" customHeight="1">
      <c r="A180" s="184" t="s">
        <v>231</v>
      </c>
      <c r="B180" s="184"/>
      <c r="C180" s="184"/>
      <c r="D180" s="184"/>
      <c r="E180" s="184"/>
      <c r="F180" s="184"/>
      <c r="G180" s="184"/>
      <c r="H180" s="184"/>
      <c r="I180" s="184"/>
      <c r="J180" s="184"/>
      <c r="K180" s="184"/>
      <c r="L180" s="184"/>
      <c r="M180" s="16"/>
    </row>
    <row r="181" spans="1:13" ht="32.25" customHeight="1">
      <c r="A181" s="28" t="s">
        <v>11</v>
      </c>
      <c r="B181" s="29" t="s">
        <v>12</v>
      </c>
      <c r="C181" s="29" t="s">
        <v>13</v>
      </c>
      <c r="D181" s="28" t="s">
        <v>14</v>
      </c>
      <c r="E181" s="29" t="s">
        <v>15</v>
      </c>
      <c r="F181" s="28" t="s">
        <v>16</v>
      </c>
      <c r="G181" s="28" t="s">
        <v>17</v>
      </c>
      <c r="H181" s="28" t="s">
        <v>18</v>
      </c>
      <c r="I181" s="28" t="s">
        <v>19</v>
      </c>
      <c r="J181" s="28" t="s">
        <v>20</v>
      </c>
      <c r="K181" s="28" t="s">
        <v>21</v>
      </c>
      <c r="L181" s="28" t="s">
        <v>22</v>
      </c>
      <c r="M181" s="16"/>
    </row>
    <row r="182" spans="1:13" ht="32.25" customHeight="1">
      <c r="A182" s="32">
        <v>110</v>
      </c>
      <c r="B182" s="36" t="s">
        <v>232</v>
      </c>
      <c r="C182" s="31" t="s">
        <v>192</v>
      </c>
      <c r="D182" s="32" t="s">
        <v>29</v>
      </c>
      <c r="E182" s="32" t="s">
        <v>26</v>
      </c>
      <c r="F182" s="33">
        <v>37000</v>
      </c>
      <c r="G182" s="33">
        <v>1061.9000000000001</v>
      </c>
      <c r="H182" s="33">
        <v>0</v>
      </c>
      <c r="I182" s="11">
        <v>1124.8</v>
      </c>
      <c r="J182" s="33">
        <v>4263.96</v>
      </c>
      <c r="K182" s="33">
        <f>G182+I182+H182+J182</f>
        <v>6450.66</v>
      </c>
      <c r="L182" s="11">
        <f>+F182-K182</f>
        <v>30549.34</v>
      </c>
      <c r="M182" s="16"/>
    </row>
    <row r="183" spans="1:13" ht="32.25" customHeight="1">
      <c r="A183" s="32">
        <v>111</v>
      </c>
      <c r="B183" s="31" t="s">
        <v>233</v>
      </c>
      <c r="C183" s="31" t="s">
        <v>234</v>
      </c>
      <c r="D183" s="32" t="s">
        <v>29</v>
      </c>
      <c r="E183" s="32" t="s">
        <v>41</v>
      </c>
      <c r="F183" s="11">
        <v>101500</v>
      </c>
      <c r="G183" s="11">
        <f>F183*0.0287</f>
        <v>2913.05</v>
      </c>
      <c r="H183" s="33">
        <v>12458.27</v>
      </c>
      <c r="I183" s="11">
        <v>3085.6</v>
      </c>
      <c r="J183" s="33">
        <v>225</v>
      </c>
      <c r="K183" s="11">
        <f>J183+I183+H183+G183</f>
        <v>18681.920000000002</v>
      </c>
      <c r="L183" s="11">
        <f>+F183-K183</f>
        <v>82818.080000000002</v>
      </c>
      <c r="M183" s="16"/>
    </row>
    <row r="184" spans="1:13" ht="32.25" customHeight="1">
      <c r="A184" s="60" t="s">
        <v>49</v>
      </c>
      <c r="B184" s="31"/>
      <c r="C184" s="31"/>
      <c r="D184" s="32"/>
      <c r="E184" s="32"/>
      <c r="F184" s="12">
        <f>SUM(F182:F183)</f>
        <v>138500</v>
      </c>
      <c r="G184" s="12">
        <f>SUM(G182:G183)</f>
        <v>3974.9500000000003</v>
      </c>
      <c r="H184" s="38">
        <f>SUM(H182:H183)</f>
        <v>12458.27</v>
      </c>
      <c r="I184" s="12">
        <f>+SUM(I182:I183)</f>
        <v>4210.3999999999996</v>
      </c>
      <c r="J184" s="12">
        <f>SUM(J182:J183)</f>
        <v>4488.96</v>
      </c>
      <c r="K184" s="12">
        <f>SUM(K182:K183)</f>
        <v>25132.58</v>
      </c>
      <c r="L184" s="12">
        <f>SUM(L182:L183)</f>
        <v>113367.42</v>
      </c>
      <c r="M184" s="16"/>
    </row>
    <row r="185" spans="1:13" ht="32.25" customHeight="1">
      <c r="A185" s="184" t="s">
        <v>235</v>
      </c>
      <c r="B185" s="184"/>
      <c r="C185" s="184"/>
      <c r="D185" s="184"/>
      <c r="E185" s="184"/>
      <c r="F185" s="184"/>
      <c r="G185" s="184"/>
      <c r="H185" s="184"/>
      <c r="I185" s="184"/>
      <c r="J185" s="184"/>
      <c r="K185" s="184"/>
      <c r="L185" s="184"/>
      <c r="M185" s="16"/>
    </row>
    <row r="186" spans="1:13" ht="32.25" customHeight="1">
      <c r="A186" s="28" t="s">
        <v>11</v>
      </c>
      <c r="B186" s="29" t="s">
        <v>12</v>
      </c>
      <c r="C186" s="29" t="s">
        <v>13</v>
      </c>
      <c r="D186" s="28" t="s">
        <v>14</v>
      </c>
      <c r="E186" s="29" t="s">
        <v>15</v>
      </c>
      <c r="F186" s="28" t="s">
        <v>16</v>
      </c>
      <c r="G186" s="28" t="s">
        <v>17</v>
      </c>
      <c r="H186" s="28" t="s">
        <v>18</v>
      </c>
      <c r="I186" s="28" t="s">
        <v>19</v>
      </c>
      <c r="J186" s="28" t="s">
        <v>20</v>
      </c>
      <c r="K186" s="28" t="s">
        <v>21</v>
      </c>
      <c r="L186" s="28" t="s">
        <v>22</v>
      </c>
      <c r="M186" s="16"/>
    </row>
    <row r="187" spans="1:13" ht="67.5" customHeight="1">
      <c r="A187" s="32">
        <v>112</v>
      </c>
      <c r="B187" s="31" t="s">
        <v>236</v>
      </c>
      <c r="C187" s="31" t="s">
        <v>237</v>
      </c>
      <c r="D187" s="44" t="s">
        <v>25</v>
      </c>
      <c r="E187" s="32" t="s">
        <v>41</v>
      </c>
      <c r="F187" s="34">
        <v>101500</v>
      </c>
      <c r="G187" s="34">
        <f>F187*0.0287</f>
        <v>2913.05</v>
      </c>
      <c r="H187" s="34">
        <v>12458.27</v>
      </c>
      <c r="I187" s="34">
        <v>3085.6</v>
      </c>
      <c r="J187" s="34">
        <v>325</v>
      </c>
      <c r="K187" s="34">
        <f>G187+I187+H187+J187</f>
        <v>18781.919999999998</v>
      </c>
      <c r="L187" s="34">
        <f>+F187-K187</f>
        <v>82718.080000000002</v>
      </c>
      <c r="M187" s="16"/>
    </row>
    <row r="188" spans="1:13" ht="48" customHeight="1">
      <c r="A188" s="32">
        <v>113</v>
      </c>
      <c r="B188" s="36" t="s">
        <v>238</v>
      </c>
      <c r="C188" s="31" t="s">
        <v>239</v>
      </c>
      <c r="D188" s="32" t="s">
        <v>25</v>
      </c>
      <c r="E188" s="32" t="s">
        <v>26</v>
      </c>
      <c r="F188" s="33">
        <v>65000</v>
      </c>
      <c r="G188" s="33">
        <f>F188*0.0287</f>
        <v>1865.5</v>
      </c>
      <c r="H188" s="33">
        <v>4084.46</v>
      </c>
      <c r="I188" s="33">
        <f>IF(F188&lt;75829.93,F188*0.0304,2305.23)</f>
        <v>1976</v>
      </c>
      <c r="J188" s="33">
        <v>14366.09</v>
      </c>
      <c r="K188" s="33">
        <f>SUM(G188:J188)</f>
        <v>22292.05</v>
      </c>
      <c r="L188" s="11">
        <f>+F188-K188</f>
        <v>42707.95</v>
      </c>
      <c r="M188" s="16"/>
    </row>
    <row r="189" spans="1:13" ht="32.25" customHeight="1">
      <c r="A189" s="32"/>
      <c r="B189" s="37"/>
      <c r="C189" s="31"/>
      <c r="D189" s="32"/>
      <c r="E189" s="32"/>
      <c r="F189" s="69">
        <f t="shared" ref="F189:L189" si="30">SUM(F187:F188)</f>
        <v>166500</v>
      </c>
      <c r="G189" s="19">
        <f t="shared" si="30"/>
        <v>4778.55</v>
      </c>
      <c r="H189" s="19">
        <f t="shared" si="30"/>
        <v>16542.73</v>
      </c>
      <c r="I189" s="69">
        <f t="shared" si="30"/>
        <v>5061.6000000000004</v>
      </c>
      <c r="J189" s="19">
        <f t="shared" si="30"/>
        <v>14691.09</v>
      </c>
      <c r="K189" s="19">
        <f t="shared" si="30"/>
        <v>41073.97</v>
      </c>
      <c r="L189" s="20">
        <f t="shared" si="30"/>
        <v>125426.03</v>
      </c>
      <c r="M189" s="16"/>
    </row>
    <row r="190" spans="1:13" ht="32.25" customHeight="1">
      <c r="A190" s="67" t="s">
        <v>240</v>
      </c>
      <c r="B190" s="37"/>
      <c r="C190" s="31"/>
      <c r="D190" s="32"/>
      <c r="E190" s="32"/>
      <c r="F190" s="69">
        <v>6714450</v>
      </c>
      <c r="G190" s="19">
        <v>192704.72</v>
      </c>
      <c r="H190" s="19">
        <v>525669.57999999996</v>
      </c>
      <c r="I190" s="69">
        <v>203260.42</v>
      </c>
      <c r="J190" s="19">
        <v>767077.45</v>
      </c>
      <c r="K190" s="19">
        <v>1688712.17</v>
      </c>
      <c r="L190" s="20">
        <v>5025737.83</v>
      </c>
      <c r="M190" s="16"/>
    </row>
    <row r="191" spans="1:13" ht="32.25" customHeight="1" thickBot="1">
      <c r="A191" s="67" t="s">
        <v>241</v>
      </c>
      <c r="B191" s="37"/>
      <c r="C191" s="31"/>
      <c r="D191" s="32"/>
      <c r="E191" s="32"/>
      <c r="F191" s="70">
        <v>6714450</v>
      </c>
      <c r="G191" s="21">
        <v>192704.72</v>
      </c>
      <c r="H191" s="21">
        <v>525669.57999999996</v>
      </c>
      <c r="I191" s="70">
        <v>203260.42</v>
      </c>
      <c r="J191" s="21">
        <v>767077.45</v>
      </c>
      <c r="K191" s="21">
        <v>1688712.17</v>
      </c>
      <c r="L191" s="22">
        <v>5025737.83</v>
      </c>
      <c r="M191" s="16"/>
    </row>
    <row r="192" spans="1:13" ht="32.25" customHeight="1" thickTop="1">
      <c r="A192" s="32"/>
      <c r="B192" s="37"/>
      <c r="C192" s="31"/>
      <c r="D192" s="32"/>
      <c r="E192" s="32"/>
      <c r="F192" s="49"/>
      <c r="G192" s="8"/>
      <c r="H192" s="8"/>
      <c r="I192" s="49"/>
      <c r="J192" s="8"/>
      <c r="K192" s="8"/>
      <c r="L192" s="12"/>
      <c r="M192" s="16"/>
    </row>
    <row r="193" spans="1:13" ht="32.25" customHeight="1">
      <c r="A193" s="32"/>
      <c r="B193" s="37"/>
      <c r="C193" s="31"/>
      <c r="D193" s="32"/>
      <c r="E193" s="32"/>
      <c r="F193" s="34"/>
      <c r="G193" s="6"/>
      <c r="H193" s="15"/>
      <c r="I193" s="34"/>
      <c r="J193" s="6"/>
      <c r="K193" s="6"/>
      <c r="L193" s="11"/>
      <c r="M193" s="16"/>
    </row>
    <row r="194" spans="1:13" ht="32.25" customHeight="1">
      <c r="A194" s="30" t="s">
        <v>242</v>
      </c>
      <c r="B194" s="35"/>
      <c r="C194" s="35"/>
      <c r="D194" s="30"/>
      <c r="E194" s="26" t="s">
        <v>243</v>
      </c>
      <c r="F194" s="26"/>
      <c r="G194" s="26"/>
      <c r="H194" s="26"/>
      <c r="I194" s="71"/>
      <c r="J194" s="185" t="s">
        <v>244</v>
      </c>
      <c r="K194" s="185"/>
      <c r="L194" s="185"/>
      <c r="M194" s="16"/>
    </row>
    <row r="195" spans="1:13" ht="32.25" customHeight="1">
      <c r="A195" s="30"/>
      <c r="B195" s="35"/>
      <c r="C195" s="35"/>
      <c r="D195" s="30"/>
      <c r="E195" s="26"/>
      <c r="F195" s="26"/>
      <c r="G195" s="26"/>
      <c r="H195" s="26"/>
      <c r="I195" s="71"/>
      <c r="J195" s="26"/>
      <c r="K195" s="26"/>
      <c r="L195" s="26"/>
      <c r="M195" s="16"/>
    </row>
    <row r="196" spans="1:13" ht="32.25" customHeight="1">
      <c r="A196" s="72"/>
      <c r="B196" s="35"/>
      <c r="C196" s="35" t="s">
        <v>245</v>
      </c>
      <c r="D196" s="30"/>
      <c r="E196" s="30"/>
      <c r="F196" s="30"/>
      <c r="G196" s="26"/>
      <c r="H196" s="26"/>
      <c r="I196" s="27"/>
      <c r="J196" s="27"/>
      <c r="K196" s="27"/>
      <c r="L196" s="27"/>
      <c r="M196" s="16"/>
    </row>
    <row r="197" spans="1:13" ht="32.25" customHeight="1">
      <c r="A197" s="73" t="s">
        <v>246</v>
      </c>
      <c r="B197" s="35"/>
      <c r="C197" s="35"/>
      <c r="D197" s="30"/>
      <c r="E197" s="73" t="s">
        <v>247</v>
      </c>
      <c r="F197" s="73"/>
      <c r="G197" s="26"/>
      <c r="H197" s="26"/>
      <c r="I197" s="26"/>
      <c r="J197" s="186" t="s">
        <v>248</v>
      </c>
      <c r="K197" s="186"/>
      <c r="L197" s="186"/>
      <c r="M197" s="16"/>
    </row>
    <row r="198" spans="1:13" ht="32.25" customHeight="1">
      <c r="A198" s="30" t="s">
        <v>249</v>
      </c>
      <c r="B198" s="35"/>
      <c r="C198" s="35"/>
      <c r="D198" s="30"/>
      <c r="E198" s="30" t="s">
        <v>250</v>
      </c>
      <c r="F198" s="30"/>
      <c r="G198" s="26"/>
      <c r="H198" s="26"/>
      <c r="I198" s="26"/>
      <c r="J198" s="185" t="s">
        <v>28</v>
      </c>
      <c r="K198" s="185"/>
      <c r="L198" s="185"/>
      <c r="M198" s="16"/>
    </row>
    <row r="199" spans="1:13" ht="32.25" customHeight="1">
      <c r="A199" s="32"/>
      <c r="B199" s="37"/>
      <c r="C199" s="31"/>
      <c r="D199" s="32"/>
      <c r="E199" s="32"/>
      <c r="F199" s="34"/>
      <c r="G199" s="6"/>
      <c r="H199" s="15"/>
      <c r="I199" s="34"/>
      <c r="J199" s="6"/>
      <c r="K199" s="6"/>
      <c r="L199" s="11"/>
      <c r="M199" s="16"/>
    </row>
    <row r="202" spans="1:13" ht="32.25" customHeight="1">
      <c r="A202" s="32"/>
      <c r="B202" s="37"/>
      <c r="C202" s="31"/>
      <c r="D202" s="32"/>
      <c r="E202" s="32"/>
      <c r="F202" s="34"/>
      <c r="G202" s="6"/>
      <c r="H202" s="15"/>
      <c r="I202" s="34"/>
      <c r="J202" s="6"/>
      <c r="K202" s="6"/>
      <c r="L202" s="11"/>
      <c r="M202" s="16"/>
    </row>
    <row r="203" spans="1:13" ht="32.25" customHeight="1">
      <c r="A203" s="32"/>
      <c r="B203" s="37"/>
      <c r="C203" s="31"/>
      <c r="D203" s="32"/>
      <c r="E203" s="32"/>
      <c r="F203" s="34"/>
      <c r="G203" s="6"/>
      <c r="H203" s="15"/>
      <c r="I203" s="34"/>
      <c r="J203" s="6"/>
      <c r="K203" s="6"/>
      <c r="L203" s="11"/>
      <c r="M203" s="16"/>
    </row>
    <row r="204" spans="1:13" ht="32.25" customHeight="1">
      <c r="A204" s="32"/>
      <c r="B204" s="37"/>
      <c r="C204" s="31"/>
      <c r="D204" s="32"/>
      <c r="E204" s="32"/>
      <c r="F204" s="34"/>
      <c r="G204" s="6"/>
      <c r="H204" s="15"/>
      <c r="I204" s="34"/>
      <c r="J204" s="6"/>
      <c r="K204" s="6"/>
      <c r="L204" s="11"/>
      <c r="M204" s="16"/>
    </row>
    <row r="205" spans="1:13" ht="32.25" customHeight="1">
      <c r="A205" s="32"/>
      <c r="B205" s="37"/>
      <c r="C205" s="31"/>
      <c r="D205" s="32"/>
      <c r="E205" s="32"/>
      <c r="F205" s="34"/>
      <c r="G205" s="6"/>
      <c r="H205" s="15"/>
      <c r="I205" s="34"/>
      <c r="J205" s="6"/>
      <c r="K205" s="6"/>
      <c r="L205" s="11"/>
      <c r="M205" s="16"/>
    </row>
    <row r="206" spans="1:13" ht="32.25" customHeight="1">
      <c r="A206" s="32"/>
      <c r="B206" s="37"/>
      <c r="C206" s="31"/>
      <c r="D206" s="32"/>
      <c r="E206" s="32"/>
      <c r="F206" s="34"/>
      <c r="G206" s="6"/>
      <c r="H206" s="15"/>
      <c r="I206" s="34"/>
      <c r="J206" s="6"/>
      <c r="K206" s="6"/>
      <c r="L206" s="11"/>
      <c r="M206" s="16"/>
    </row>
    <row r="207" spans="1:13" ht="32.25" customHeight="1">
      <c r="A207" s="32"/>
      <c r="B207" s="37"/>
      <c r="C207" s="31"/>
      <c r="D207" s="32"/>
      <c r="E207" s="32"/>
      <c r="F207" s="34"/>
      <c r="G207" s="6"/>
      <c r="H207" s="15"/>
      <c r="I207" s="34"/>
      <c r="J207" s="6"/>
      <c r="K207" s="6"/>
      <c r="L207" s="11"/>
      <c r="M207" s="16"/>
    </row>
    <row r="208" spans="1:13" ht="32.25" customHeight="1">
      <c r="A208" s="32"/>
      <c r="B208" s="37"/>
      <c r="C208" s="31"/>
      <c r="D208" s="32"/>
      <c r="E208" s="32"/>
      <c r="F208" s="34"/>
      <c r="G208" s="6"/>
      <c r="H208" s="15"/>
      <c r="I208" s="34"/>
      <c r="J208" s="6"/>
      <c r="K208" s="6"/>
      <c r="L208" s="11"/>
      <c r="M208" s="16"/>
    </row>
    <row r="209" spans="1:13" ht="32.25" customHeight="1">
      <c r="A209" s="32"/>
      <c r="B209" s="74"/>
      <c r="C209" s="17" t="s">
        <v>251</v>
      </c>
      <c r="D209" s="18" t="s">
        <v>17</v>
      </c>
      <c r="E209" s="18" t="s">
        <v>18</v>
      </c>
      <c r="F209" s="17" t="s">
        <v>19</v>
      </c>
      <c r="G209" s="17" t="s">
        <v>252</v>
      </c>
      <c r="H209" s="17" t="s">
        <v>253</v>
      </c>
      <c r="I209" s="17" t="s">
        <v>254</v>
      </c>
      <c r="J209" s="6"/>
      <c r="K209" s="6"/>
      <c r="L209" s="11"/>
      <c r="M209" s="16"/>
    </row>
    <row r="210" spans="1:13" ht="32.25" customHeight="1">
      <c r="A210" s="32"/>
      <c r="B210" s="29" t="s">
        <v>255</v>
      </c>
      <c r="C210" s="75">
        <v>6053950</v>
      </c>
      <c r="D210" s="75">
        <v>173748.37</v>
      </c>
      <c r="E210" s="75">
        <v>410149.17</v>
      </c>
      <c r="F210" s="75">
        <v>183181.22</v>
      </c>
      <c r="G210" s="75">
        <v>767077.45</v>
      </c>
      <c r="H210" s="75">
        <f>D210+E210+F210+G210</f>
        <v>1534156.21</v>
      </c>
      <c r="I210" s="75">
        <f>C210-H210</f>
        <v>4519793.79</v>
      </c>
      <c r="J210" s="6"/>
      <c r="K210" s="6"/>
      <c r="L210" s="11"/>
      <c r="M210" s="16"/>
    </row>
    <row r="211" spans="1:13" ht="32.25" customHeight="1">
      <c r="A211" s="32"/>
      <c r="B211" s="29" t="s">
        <v>256</v>
      </c>
      <c r="C211" s="75">
        <v>416500</v>
      </c>
      <c r="D211" s="75">
        <v>11953.55</v>
      </c>
      <c r="E211" s="75">
        <v>66950.39</v>
      </c>
      <c r="F211" s="75">
        <v>12661.6</v>
      </c>
      <c r="G211" s="75">
        <v>0</v>
      </c>
      <c r="H211" s="75">
        <f>D211+E211+F211</f>
        <v>91565.540000000008</v>
      </c>
      <c r="I211" s="75">
        <f>C211-H211</f>
        <v>324934.45999999996</v>
      </c>
      <c r="J211" s="6"/>
      <c r="K211" s="6"/>
      <c r="L211" s="11"/>
      <c r="M211" s="16"/>
    </row>
    <row r="212" spans="1:13" ht="32.25" customHeight="1">
      <c r="A212" s="32"/>
      <c r="B212" s="76" t="s">
        <v>257</v>
      </c>
      <c r="C212" s="75">
        <v>244000</v>
      </c>
      <c r="D212" s="75">
        <v>7002.8</v>
      </c>
      <c r="E212" s="75">
        <v>48570.02</v>
      </c>
      <c r="F212" s="75">
        <v>7417.6</v>
      </c>
      <c r="G212" s="75">
        <v>0</v>
      </c>
      <c r="H212" s="75">
        <f>D212+E212+F212</f>
        <v>62990.42</v>
      </c>
      <c r="I212" s="75">
        <f>C212-H212</f>
        <v>181009.58000000002</v>
      </c>
      <c r="J212" s="6"/>
      <c r="K212" s="6"/>
      <c r="L212" s="11"/>
      <c r="M212" s="16"/>
    </row>
    <row r="213" spans="1:13" ht="32.25" customHeight="1">
      <c r="A213" s="32"/>
      <c r="B213" s="77" t="s">
        <v>258</v>
      </c>
      <c r="C213" s="78">
        <f t="shared" ref="C213:I213" si="31">SUM(C210:C212)</f>
        <v>6714450</v>
      </c>
      <c r="D213" s="78">
        <f t="shared" si="31"/>
        <v>192704.71999999997</v>
      </c>
      <c r="E213" s="78">
        <f t="shared" si="31"/>
        <v>525669.57999999996</v>
      </c>
      <c r="F213" s="78">
        <f t="shared" si="31"/>
        <v>203260.42</v>
      </c>
      <c r="G213" s="78">
        <f t="shared" si="31"/>
        <v>767077.45</v>
      </c>
      <c r="H213" s="78">
        <f t="shared" si="31"/>
        <v>1688712.17</v>
      </c>
      <c r="I213" s="79">
        <f t="shared" si="31"/>
        <v>5025737.83</v>
      </c>
      <c r="J213" s="6"/>
      <c r="K213" s="6"/>
      <c r="L213" s="11"/>
      <c r="M213" s="16"/>
    </row>
    <row r="214" spans="1:13" ht="32.25" customHeight="1">
      <c r="A214" s="32"/>
      <c r="B214" s="80"/>
      <c r="C214" s="81"/>
      <c r="D214" s="81"/>
      <c r="E214" s="81"/>
      <c r="F214" s="81"/>
      <c r="G214" s="81"/>
      <c r="H214" s="81"/>
      <c r="I214" s="82"/>
      <c r="J214" s="6"/>
      <c r="K214" s="6"/>
      <c r="L214" s="11"/>
      <c r="M214" s="16"/>
    </row>
    <row r="215" spans="1:13" ht="32.25" customHeight="1">
      <c r="A215" s="32"/>
      <c r="B215" s="37"/>
      <c r="C215" s="31"/>
      <c r="D215" s="32"/>
      <c r="E215" s="32"/>
      <c r="F215" s="34"/>
      <c r="G215" s="6"/>
      <c r="H215" s="15"/>
      <c r="I215" s="34"/>
      <c r="J215" s="6"/>
      <c r="K215" s="6"/>
      <c r="L215" s="11"/>
      <c r="M215" s="16"/>
    </row>
    <row r="216" spans="1:13" ht="32.25" customHeight="1">
      <c r="A216" s="32"/>
      <c r="B216" s="37"/>
      <c r="C216" s="31"/>
      <c r="D216" s="32"/>
      <c r="E216" s="32"/>
      <c r="F216" s="34"/>
      <c r="G216" s="6"/>
      <c r="H216" s="15"/>
      <c r="I216" s="34"/>
      <c r="J216" s="6"/>
      <c r="K216" s="6"/>
      <c r="L216" s="11"/>
      <c r="M216" s="16"/>
    </row>
    <row r="217" spans="1:13" ht="32.25" customHeight="1">
      <c r="A217" s="32"/>
      <c r="B217" s="37"/>
      <c r="C217" s="31"/>
      <c r="D217" s="32"/>
      <c r="E217" s="32"/>
      <c r="F217" s="34"/>
      <c r="G217" s="6"/>
      <c r="H217" s="15"/>
      <c r="I217" s="34"/>
      <c r="J217" s="6"/>
      <c r="K217" s="6"/>
      <c r="L217" s="11"/>
      <c r="M217" s="16"/>
    </row>
    <row r="218" spans="1:13" ht="32.25" customHeight="1">
      <c r="A218" s="32"/>
      <c r="B218" s="37"/>
      <c r="C218" s="31"/>
      <c r="D218" s="32"/>
      <c r="E218" s="32"/>
      <c r="F218" s="34"/>
      <c r="G218" s="6"/>
      <c r="H218" s="15"/>
      <c r="I218" s="34"/>
      <c r="J218" s="6"/>
      <c r="K218" s="6"/>
      <c r="L218" s="11"/>
      <c r="M218" s="16"/>
    </row>
    <row r="219" spans="1:13" ht="32.25" customHeight="1">
      <c r="A219" s="32"/>
      <c r="B219" s="37"/>
      <c r="C219" s="31"/>
      <c r="D219" s="32"/>
      <c r="E219" s="32"/>
      <c r="F219" s="34"/>
      <c r="G219" s="6"/>
      <c r="H219" s="15"/>
      <c r="I219" s="34"/>
      <c r="J219" s="6"/>
      <c r="K219" s="6"/>
      <c r="L219" s="11"/>
      <c r="M219" s="16"/>
    </row>
    <row r="220" spans="1:13" ht="32.25" customHeight="1">
      <c r="A220" s="32"/>
      <c r="B220" s="37"/>
      <c r="C220" s="31"/>
      <c r="D220" s="32"/>
      <c r="E220" s="32"/>
      <c r="F220" s="34"/>
      <c r="G220" s="6"/>
      <c r="H220" s="15"/>
      <c r="I220" s="34"/>
      <c r="J220" s="6"/>
      <c r="K220" s="6"/>
      <c r="L220" s="11"/>
      <c r="M220" s="16"/>
    </row>
    <row r="221" spans="1:13" ht="32.25" customHeight="1">
      <c r="A221" s="32"/>
      <c r="B221" s="37"/>
      <c r="C221" s="31"/>
      <c r="D221" s="32"/>
      <c r="E221" s="32"/>
      <c r="F221" s="34"/>
      <c r="G221" s="6"/>
      <c r="H221" s="15"/>
      <c r="I221" s="34"/>
      <c r="J221" s="6"/>
      <c r="K221" s="6"/>
      <c r="L221" s="11"/>
      <c r="M221" s="16"/>
    </row>
    <row r="222" spans="1:13" ht="32.25" customHeight="1">
      <c r="A222" s="32"/>
      <c r="B222" s="37"/>
      <c r="C222" s="31"/>
      <c r="D222" s="32"/>
      <c r="E222" s="32"/>
      <c r="F222" s="34"/>
      <c r="G222" s="6"/>
      <c r="H222" s="15"/>
      <c r="I222" s="34"/>
      <c r="J222" s="6"/>
      <c r="K222" s="6"/>
      <c r="L222" s="11"/>
      <c r="M222" s="16"/>
    </row>
    <row r="223" spans="1:13" ht="32.25" customHeight="1">
      <c r="A223" s="32"/>
      <c r="B223" s="37"/>
      <c r="C223" s="31"/>
      <c r="D223" s="32"/>
      <c r="E223" s="32"/>
      <c r="F223" s="34"/>
      <c r="G223" s="6"/>
      <c r="H223" s="15"/>
      <c r="I223" s="34"/>
      <c r="J223" s="6"/>
      <c r="K223" s="6"/>
      <c r="L223" s="11"/>
      <c r="M223" s="16"/>
    </row>
    <row r="224" spans="1:13" ht="32.25" customHeight="1">
      <c r="A224" s="32"/>
      <c r="B224" s="37"/>
      <c r="C224" s="31"/>
      <c r="D224" s="32"/>
      <c r="E224" s="32"/>
      <c r="F224" s="34"/>
      <c r="G224" s="6"/>
      <c r="H224" s="15"/>
      <c r="I224" s="34"/>
      <c r="J224" s="6"/>
      <c r="K224" s="6"/>
      <c r="L224" s="11"/>
      <c r="M224" s="16"/>
    </row>
    <row r="225" spans="1:13" ht="32.25" customHeight="1">
      <c r="A225" s="32"/>
      <c r="B225" s="37"/>
      <c r="C225" s="31"/>
      <c r="D225" s="32"/>
      <c r="E225" s="32"/>
      <c r="F225" s="34"/>
      <c r="G225" s="6"/>
      <c r="H225" s="15"/>
      <c r="I225" s="34"/>
      <c r="J225" s="6"/>
      <c r="K225" s="6"/>
      <c r="L225" s="11"/>
      <c r="M225" s="16"/>
    </row>
    <row r="226" spans="1:13" ht="32.25" customHeight="1">
      <c r="A226" s="32"/>
      <c r="B226" s="37"/>
      <c r="C226" s="31"/>
      <c r="D226" s="32"/>
      <c r="E226" s="32"/>
      <c r="F226" s="34"/>
      <c r="G226" s="6"/>
      <c r="H226" s="15"/>
      <c r="I226" s="34"/>
      <c r="J226" s="6"/>
      <c r="K226" s="6"/>
      <c r="L226" s="11"/>
      <c r="M226" s="16"/>
    </row>
    <row r="227" spans="1:13" ht="32.25" customHeight="1">
      <c r="A227" s="32"/>
      <c r="B227" s="37"/>
      <c r="C227" s="31"/>
      <c r="D227" s="32"/>
      <c r="E227" s="32"/>
      <c r="F227" s="34"/>
      <c r="G227" s="6"/>
      <c r="H227" s="15"/>
      <c r="I227" s="34"/>
      <c r="J227" s="6"/>
      <c r="K227" s="6"/>
      <c r="L227" s="11"/>
      <c r="M227" s="16"/>
    </row>
    <row r="228" spans="1:13" ht="32.25" customHeight="1">
      <c r="A228" s="32"/>
      <c r="B228" s="37"/>
      <c r="C228" s="31"/>
      <c r="D228" s="32"/>
      <c r="E228" s="32"/>
      <c r="F228" s="34"/>
      <c r="G228" s="6"/>
      <c r="H228" s="15"/>
      <c r="I228" s="34"/>
      <c r="J228" s="6"/>
      <c r="K228" s="6"/>
      <c r="L228" s="11"/>
      <c r="M228" s="16"/>
    </row>
    <row r="229" spans="1:13" ht="32.25" customHeight="1">
      <c r="A229" s="32"/>
      <c r="B229" s="37"/>
      <c r="C229" s="31"/>
      <c r="D229" s="32"/>
      <c r="E229" s="32"/>
      <c r="F229" s="34"/>
      <c r="G229" s="6"/>
      <c r="H229" s="15"/>
      <c r="I229" s="34"/>
      <c r="J229" s="6"/>
      <c r="K229" s="6"/>
      <c r="L229" s="11"/>
      <c r="M229" s="16"/>
    </row>
    <row r="230" spans="1:13" ht="32.25" customHeight="1">
      <c r="A230" s="32"/>
      <c r="B230" s="37"/>
      <c r="C230" s="31"/>
      <c r="D230" s="32"/>
      <c r="E230" s="32"/>
      <c r="F230" s="34"/>
      <c r="G230" s="6"/>
      <c r="H230" s="15"/>
      <c r="I230" s="34"/>
      <c r="J230" s="6"/>
      <c r="K230" s="6"/>
      <c r="L230" s="11"/>
      <c r="M230" s="16"/>
    </row>
    <row r="231" spans="1:13" ht="32.25" customHeight="1">
      <c r="A231" s="32"/>
      <c r="B231" s="37"/>
      <c r="C231" s="31"/>
      <c r="D231" s="32"/>
      <c r="E231" s="32"/>
      <c r="F231" s="34"/>
      <c r="G231" s="6"/>
      <c r="H231" s="15"/>
      <c r="I231" s="34"/>
      <c r="J231" s="6"/>
      <c r="K231" s="6"/>
      <c r="L231" s="11"/>
      <c r="M231" s="16"/>
    </row>
    <row r="232" spans="1:13" ht="32.25" customHeight="1">
      <c r="A232" s="32"/>
      <c r="B232" s="37"/>
      <c r="C232" s="31"/>
      <c r="D232" s="32"/>
      <c r="E232" s="32"/>
      <c r="F232" s="34"/>
      <c r="G232" s="6"/>
      <c r="H232" s="15"/>
      <c r="I232" s="34"/>
      <c r="J232" s="6"/>
      <c r="K232" s="6"/>
      <c r="L232" s="11"/>
      <c r="M232" s="16"/>
    </row>
    <row r="233" spans="1:13" ht="32.25" customHeight="1">
      <c r="A233" s="32"/>
      <c r="B233" s="37"/>
      <c r="C233" s="31"/>
      <c r="D233" s="32"/>
      <c r="E233" s="32"/>
      <c r="F233" s="34"/>
      <c r="G233" s="6"/>
      <c r="H233" s="15"/>
      <c r="I233" s="34"/>
      <c r="J233" s="6"/>
      <c r="K233" s="6"/>
      <c r="L233" s="11"/>
      <c r="M233" s="16"/>
    </row>
    <row r="234" spans="1:13" ht="32.25" customHeight="1">
      <c r="A234" s="32"/>
      <c r="B234" s="37"/>
      <c r="C234" s="31"/>
      <c r="D234" s="32"/>
      <c r="E234" s="32"/>
      <c r="F234" s="34"/>
      <c r="G234" s="6"/>
      <c r="H234" s="15"/>
      <c r="I234" s="34"/>
      <c r="J234" s="6"/>
      <c r="K234" s="6"/>
      <c r="L234" s="11"/>
      <c r="M234" s="16"/>
    </row>
    <row r="235" spans="1:13" ht="32.25" customHeight="1">
      <c r="A235" s="32"/>
      <c r="B235" s="37"/>
      <c r="C235" s="31"/>
      <c r="D235" s="32"/>
      <c r="E235" s="32"/>
      <c r="F235" s="34"/>
      <c r="G235" s="6"/>
      <c r="H235" s="15"/>
      <c r="I235" s="34"/>
      <c r="J235" s="6"/>
      <c r="K235" s="6"/>
      <c r="L235" s="11"/>
      <c r="M235" s="16"/>
    </row>
    <row r="236" spans="1:13" ht="32.25" customHeight="1">
      <c r="A236" s="32"/>
      <c r="B236" s="37"/>
      <c r="C236" s="31"/>
      <c r="D236" s="32"/>
      <c r="E236" s="32"/>
      <c r="F236" s="34"/>
      <c r="G236" s="6"/>
      <c r="H236" s="15"/>
      <c r="I236" s="34"/>
      <c r="J236" s="6"/>
      <c r="K236" s="6"/>
      <c r="L236" s="11"/>
      <c r="M236" s="16"/>
    </row>
    <row r="237" spans="1:13" ht="32.25" customHeight="1">
      <c r="A237" s="32"/>
      <c r="B237" s="37"/>
      <c r="C237" s="31"/>
      <c r="D237" s="32"/>
      <c r="E237" s="32"/>
      <c r="F237" s="34"/>
      <c r="G237" s="6"/>
      <c r="H237" s="15"/>
      <c r="I237" s="34"/>
      <c r="J237" s="6"/>
      <c r="K237" s="6"/>
      <c r="L237" s="11"/>
      <c r="M237" s="16"/>
    </row>
    <row r="238" spans="1:13" ht="32.25" customHeight="1">
      <c r="A238" s="32"/>
      <c r="B238" s="37"/>
      <c r="C238" s="31"/>
      <c r="D238" s="32"/>
      <c r="E238" s="32"/>
      <c r="F238" s="34"/>
      <c r="G238" s="6"/>
      <c r="H238" s="15"/>
      <c r="I238" s="34"/>
      <c r="J238" s="6"/>
      <c r="K238" s="6"/>
      <c r="L238" s="11"/>
      <c r="M238" s="16"/>
    </row>
    <row r="239" spans="1:13" ht="32.25" customHeight="1">
      <c r="A239" s="32"/>
      <c r="B239" s="37"/>
      <c r="C239" s="31"/>
      <c r="D239" s="32"/>
      <c r="E239" s="32"/>
      <c r="F239" s="34"/>
      <c r="G239" s="6"/>
      <c r="H239" s="15"/>
      <c r="I239" s="34"/>
      <c r="J239" s="6"/>
      <c r="K239" s="6"/>
      <c r="L239" s="11"/>
      <c r="M239" s="16"/>
    </row>
    <row r="240" spans="1:13" ht="32.25" customHeight="1">
      <c r="A240" s="32"/>
      <c r="B240" s="37"/>
      <c r="C240" s="31"/>
      <c r="D240" s="32"/>
      <c r="E240" s="32"/>
      <c r="F240" s="34"/>
      <c r="G240" s="6"/>
      <c r="H240" s="15"/>
      <c r="I240" s="34"/>
      <c r="J240" s="6"/>
      <c r="K240" s="6"/>
      <c r="L240" s="11"/>
      <c r="M240" s="16"/>
    </row>
    <row r="241" spans="1:13" ht="32.25" customHeight="1">
      <c r="A241" s="32"/>
      <c r="B241" s="37"/>
      <c r="C241" s="31"/>
      <c r="D241" s="32"/>
      <c r="E241" s="32"/>
      <c r="F241" s="34"/>
      <c r="G241" s="6"/>
      <c r="H241" s="15"/>
      <c r="I241" s="34"/>
      <c r="J241" s="6"/>
      <c r="K241" s="6"/>
      <c r="L241" s="11"/>
      <c r="M241" s="16"/>
    </row>
    <row r="242" spans="1:13" ht="32.25" customHeight="1">
      <c r="A242" s="32"/>
      <c r="B242" s="37"/>
      <c r="C242" s="31"/>
      <c r="D242" s="32"/>
      <c r="E242" s="32"/>
      <c r="F242" s="34"/>
      <c r="G242" s="6"/>
      <c r="H242" s="15"/>
      <c r="I242" s="34"/>
      <c r="J242" s="6"/>
      <c r="K242" s="6"/>
      <c r="L242" s="11"/>
      <c r="M242" s="16"/>
    </row>
    <row r="243" spans="1:13" ht="32.25" customHeight="1">
      <c r="A243" s="32"/>
      <c r="B243" s="37"/>
      <c r="C243" s="31"/>
      <c r="D243" s="32"/>
      <c r="E243" s="32"/>
      <c r="F243" s="34"/>
      <c r="G243" s="6"/>
      <c r="H243" s="15"/>
      <c r="I243" s="34"/>
      <c r="J243" s="6"/>
      <c r="K243" s="6"/>
      <c r="L243" s="11"/>
      <c r="M243" s="16"/>
    </row>
    <row r="244" spans="1:13" ht="32.25" customHeight="1">
      <c r="A244" s="32"/>
      <c r="B244" s="37"/>
      <c r="C244" s="31"/>
      <c r="D244" s="32"/>
      <c r="E244" s="32"/>
      <c r="F244" s="34"/>
      <c r="G244" s="6"/>
      <c r="H244" s="15"/>
      <c r="I244" s="34"/>
      <c r="J244" s="6"/>
      <c r="K244" s="6"/>
      <c r="L244" s="11"/>
      <c r="M244" s="16"/>
    </row>
    <row r="245" spans="1:13" ht="32.25" customHeight="1">
      <c r="A245" s="32"/>
      <c r="B245" s="37"/>
      <c r="C245" s="31"/>
      <c r="D245" s="32"/>
      <c r="E245" s="32"/>
      <c r="F245" s="34"/>
      <c r="G245" s="6"/>
      <c r="H245" s="15"/>
      <c r="I245" s="34"/>
      <c r="J245" s="6"/>
      <c r="K245" s="6"/>
      <c r="L245" s="11"/>
      <c r="M245" s="16"/>
    </row>
    <row r="246" spans="1:13" ht="32.25" customHeight="1">
      <c r="A246" s="32"/>
      <c r="B246" s="37"/>
      <c r="C246" s="31"/>
      <c r="D246" s="32"/>
      <c r="E246" s="32"/>
      <c r="F246" s="34"/>
      <c r="G246" s="6"/>
      <c r="H246" s="15"/>
      <c r="I246" s="34"/>
      <c r="J246" s="6"/>
      <c r="K246" s="6"/>
      <c r="L246" s="11"/>
      <c r="M246" s="16"/>
    </row>
    <row r="247" spans="1:13" ht="32.25" customHeight="1">
      <c r="A247" s="32"/>
      <c r="B247" s="37"/>
      <c r="C247" s="31"/>
      <c r="D247" s="32"/>
      <c r="E247" s="32"/>
      <c r="F247" s="34"/>
      <c r="G247" s="6"/>
      <c r="H247" s="15"/>
      <c r="I247" s="34"/>
      <c r="J247" s="6"/>
      <c r="K247" s="6"/>
      <c r="L247" s="11"/>
      <c r="M247" s="16"/>
    </row>
    <row r="248" spans="1:13" ht="32.25" customHeight="1">
      <c r="A248" s="32"/>
      <c r="B248" s="37"/>
      <c r="C248" s="31"/>
      <c r="D248" s="32"/>
      <c r="E248" s="32"/>
      <c r="F248" s="34"/>
      <c r="G248" s="6"/>
      <c r="H248" s="15"/>
      <c r="I248" s="34"/>
      <c r="J248" s="6"/>
      <c r="K248" s="6"/>
      <c r="L248" s="11"/>
      <c r="M248" s="16"/>
    </row>
    <row r="249" spans="1:13" ht="32.25" customHeight="1">
      <c r="A249" s="32"/>
      <c r="B249" s="37"/>
      <c r="C249" s="31"/>
      <c r="D249" s="32"/>
      <c r="E249" s="32"/>
      <c r="F249" s="34"/>
      <c r="G249" s="6"/>
      <c r="H249" s="15"/>
      <c r="I249" s="34"/>
      <c r="J249" s="6"/>
      <c r="K249" s="6"/>
      <c r="L249" s="11"/>
      <c r="M249" s="16"/>
    </row>
    <row r="250" spans="1:13" ht="32.25" customHeight="1">
      <c r="A250" s="32"/>
      <c r="B250" s="37"/>
      <c r="C250" s="31"/>
      <c r="D250" s="32"/>
      <c r="E250" s="32"/>
      <c r="F250" s="34"/>
      <c r="G250" s="6"/>
      <c r="H250" s="15"/>
      <c r="I250" s="34"/>
      <c r="J250" s="6"/>
      <c r="K250" s="6"/>
      <c r="L250" s="11"/>
      <c r="M250" s="16"/>
    </row>
    <row r="251" spans="1:13" ht="32.25" customHeight="1">
      <c r="A251" s="32"/>
      <c r="B251" s="37"/>
      <c r="C251" s="31"/>
      <c r="D251" s="32"/>
      <c r="E251" s="32"/>
      <c r="F251" s="34"/>
      <c r="G251" s="6"/>
      <c r="H251" s="15"/>
      <c r="I251" s="34"/>
      <c r="J251" s="6"/>
      <c r="K251" s="6"/>
      <c r="L251" s="11"/>
      <c r="M251" s="16"/>
    </row>
    <row r="252" spans="1:13" ht="32.25" customHeight="1">
      <c r="A252" s="32"/>
      <c r="B252" s="37"/>
      <c r="C252" s="31"/>
      <c r="D252" s="32"/>
      <c r="E252" s="32"/>
      <c r="F252" s="34"/>
      <c r="G252" s="6"/>
      <c r="H252" s="15"/>
      <c r="I252" s="34"/>
      <c r="J252" s="6"/>
      <c r="K252" s="6"/>
      <c r="L252" s="11"/>
      <c r="M252" s="16"/>
    </row>
    <row r="253" spans="1:13" ht="32.25" customHeight="1">
      <c r="A253" s="32"/>
      <c r="B253" s="37"/>
      <c r="C253" s="31"/>
      <c r="D253" s="32"/>
      <c r="E253" s="32"/>
      <c r="F253" s="34"/>
      <c r="G253" s="6"/>
      <c r="H253" s="15"/>
      <c r="I253" s="34"/>
      <c r="J253" s="6"/>
      <c r="K253" s="6"/>
      <c r="L253" s="11"/>
      <c r="M253" s="16"/>
    </row>
    <row r="254" spans="1:13" ht="32.25" customHeight="1">
      <c r="A254" s="32"/>
      <c r="B254" s="37"/>
      <c r="C254" s="31"/>
      <c r="D254" s="32"/>
      <c r="E254" s="32"/>
      <c r="F254" s="34"/>
      <c r="G254" s="6"/>
      <c r="H254" s="15"/>
      <c r="I254" s="34"/>
      <c r="J254" s="6"/>
      <c r="K254" s="6"/>
      <c r="L254" s="11"/>
      <c r="M254" s="16"/>
    </row>
    <row r="255" spans="1:13" ht="32.25" customHeight="1">
      <c r="A255" s="32"/>
      <c r="B255" s="37"/>
      <c r="C255" s="31"/>
      <c r="D255" s="32"/>
      <c r="E255" s="32"/>
      <c r="F255" s="34"/>
      <c r="G255" s="6"/>
      <c r="H255" s="15"/>
      <c r="I255" s="34"/>
      <c r="J255" s="6"/>
      <c r="K255" s="6"/>
      <c r="L255" s="11"/>
      <c r="M255" s="16"/>
    </row>
    <row r="256" spans="1:13" ht="32.25" customHeight="1">
      <c r="A256" s="32"/>
      <c r="B256" s="37"/>
      <c r="C256" s="31"/>
      <c r="D256" s="32"/>
      <c r="E256" s="32"/>
      <c r="F256" s="34"/>
      <c r="G256" s="6"/>
      <c r="H256" s="15"/>
      <c r="I256" s="34"/>
      <c r="J256" s="6"/>
      <c r="K256" s="6"/>
      <c r="L256" s="11"/>
      <c r="M256" s="16"/>
    </row>
    <row r="257" spans="1:13" ht="32.25" customHeight="1">
      <c r="A257" s="32"/>
      <c r="B257" s="37"/>
      <c r="C257" s="31"/>
      <c r="D257" s="32"/>
      <c r="E257" s="32"/>
      <c r="F257" s="34"/>
      <c r="G257" s="6"/>
      <c r="H257" s="15"/>
      <c r="I257" s="34"/>
      <c r="J257" s="6"/>
      <c r="K257" s="6"/>
      <c r="L257" s="11"/>
      <c r="M257" s="16"/>
    </row>
    <row r="258" spans="1:13" ht="32.25" customHeight="1">
      <c r="A258" s="32"/>
      <c r="B258" s="37"/>
      <c r="C258" s="31"/>
      <c r="D258" s="32"/>
      <c r="E258" s="32"/>
      <c r="F258" s="34"/>
      <c r="G258" s="6"/>
      <c r="H258" s="15"/>
      <c r="I258" s="34"/>
      <c r="J258" s="6"/>
      <c r="K258" s="6"/>
      <c r="L258" s="11"/>
      <c r="M258" s="16"/>
    </row>
    <row r="259" spans="1:13" ht="32.25" customHeight="1">
      <c r="A259" s="32"/>
      <c r="B259" s="37"/>
      <c r="C259" s="31"/>
      <c r="D259" s="32"/>
      <c r="E259" s="32"/>
      <c r="F259" s="34"/>
      <c r="G259" s="6"/>
      <c r="H259" s="15"/>
      <c r="I259" s="34"/>
      <c r="J259" s="6"/>
      <c r="K259" s="6"/>
      <c r="L259" s="11"/>
      <c r="M259" s="16"/>
    </row>
    <row r="260" spans="1:13" ht="32.25" customHeight="1">
      <c r="A260" s="32"/>
      <c r="B260" s="37"/>
      <c r="C260" s="31"/>
      <c r="D260" s="32"/>
      <c r="E260" s="32"/>
      <c r="F260" s="34"/>
      <c r="G260" s="6"/>
      <c r="H260" s="15"/>
      <c r="I260" s="34"/>
      <c r="J260" s="6"/>
      <c r="K260" s="6"/>
      <c r="L260" s="11"/>
      <c r="M260" s="16"/>
    </row>
    <row r="261" spans="1:13" ht="32.25" customHeight="1">
      <c r="A261" s="32"/>
      <c r="B261" s="37"/>
      <c r="C261" s="31"/>
      <c r="D261" s="32"/>
      <c r="E261" s="32"/>
      <c r="F261" s="34"/>
      <c r="G261" s="6"/>
      <c r="H261" s="15"/>
      <c r="I261" s="34"/>
      <c r="J261" s="6"/>
      <c r="K261" s="6"/>
      <c r="L261" s="11"/>
      <c r="M261" s="16"/>
    </row>
    <row r="262" spans="1:13" ht="32.25" customHeight="1">
      <c r="A262" s="32"/>
      <c r="B262" s="37"/>
      <c r="C262" s="31"/>
      <c r="D262" s="32"/>
      <c r="E262" s="32"/>
      <c r="F262" s="34"/>
      <c r="G262" s="6"/>
      <c r="H262" s="15"/>
      <c r="I262" s="34"/>
      <c r="J262" s="6"/>
      <c r="K262" s="6"/>
      <c r="L262" s="11"/>
      <c r="M262" s="16"/>
    </row>
    <row r="263" spans="1:13" ht="32.25" customHeight="1">
      <c r="A263" s="32"/>
      <c r="B263" s="37"/>
      <c r="C263" s="31"/>
      <c r="D263" s="32"/>
      <c r="E263" s="32"/>
      <c r="F263" s="34"/>
      <c r="G263" s="6"/>
      <c r="H263" s="15"/>
      <c r="I263" s="34"/>
      <c r="J263" s="6"/>
      <c r="K263" s="6"/>
      <c r="L263" s="11"/>
      <c r="M263" s="16"/>
    </row>
    <row r="264" spans="1:13" ht="32.25" customHeight="1">
      <c r="A264" s="32"/>
      <c r="B264" s="37"/>
      <c r="C264" s="31"/>
      <c r="D264" s="32"/>
      <c r="E264" s="32"/>
      <c r="F264" s="34"/>
      <c r="G264" s="6"/>
      <c r="H264" s="15"/>
      <c r="I264" s="34"/>
      <c r="J264" s="6"/>
      <c r="K264" s="6"/>
      <c r="L264" s="11"/>
      <c r="M264" s="16"/>
    </row>
    <row r="265" spans="1:13" ht="32.25" customHeight="1">
      <c r="A265" s="32"/>
      <c r="B265" s="37"/>
      <c r="C265" s="31"/>
      <c r="D265" s="32"/>
      <c r="E265" s="32"/>
      <c r="F265" s="34"/>
      <c r="G265" s="6"/>
      <c r="H265" s="15"/>
      <c r="I265" s="34"/>
      <c r="J265" s="6"/>
      <c r="K265" s="6"/>
      <c r="L265" s="11"/>
      <c r="M265" s="16"/>
    </row>
    <row r="266" spans="1:13" ht="32.25" customHeight="1">
      <c r="A266" s="32"/>
      <c r="B266" s="37"/>
      <c r="C266" s="31"/>
      <c r="D266" s="32"/>
      <c r="E266" s="32"/>
      <c r="F266" s="34"/>
      <c r="G266" s="6"/>
      <c r="H266" s="15"/>
      <c r="I266" s="34"/>
      <c r="J266" s="6"/>
      <c r="K266" s="6"/>
      <c r="L266" s="11"/>
      <c r="M266" s="16"/>
    </row>
    <row r="267" spans="1:13" ht="32.25" customHeight="1">
      <c r="A267" s="83"/>
      <c r="B267" s="2"/>
      <c r="C267" s="2"/>
      <c r="D267" s="2"/>
      <c r="E267" s="2"/>
      <c r="F267" s="24"/>
      <c r="G267" s="23"/>
      <c r="H267" s="23"/>
      <c r="J267" s="200"/>
      <c r="K267" s="200"/>
      <c r="L267" s="200"/>
      <c r="M267" s="200"/>
    </row>
    <row r="268" spans="1:13" ht="32.25" customHeight="1">
      <c r="A268" s="2"/>
      <c r="B268" s="2"/>
      <c r="C268" s="2"/>
      <c r="D268" s="2"/>
      <c r="E268" s="2"/>
      <c r="F268" s="2"/>
      <c r="G268" s="23"/>
      <c r="H268" s="23"/>
      <c r="J268" s="198"/>
      <c r="K268" s="198"/>
      <c r="L268" s="198"/>
      <c r="M268" s="198"/>
    </row>
    <row r="269" spans="1:13" ht="32.25" customHeight="1">
      <c r="A269" s="197"/>
      <c r="B269" s="197"/>
      <c r="C269" s="197"/>
      <c r="D269" s="197"/>
      <c r="E269" s="197"/>
      <c r="F269" s="197"/>
      <c r="G269" s="197"/>
      <c r="H269" s="197"/>
      <c r="I269" s="197"/>
      <c r="J269" s="197"/>
      <c r="K269" s="197"/>
      <c r="L269" s="197"/>
      <c r="M269" s="197"/>
    </row>
    <row r="270" spans="1:13" ht="32.25" customHeight="1">
      <c r="A270" s="2"/>
      <c r="B270" s="2"/>
      <c r="C270" s="2"/>
      <c r="D270" s="2"/>
      <c r="E270" s="2"/>
      <c r="F270" s="2"/>
      <c r="G270" s="2"/>
      <c r="H270" s="2"/>
      <c r="I270" s="2"/>
      <c r="J270" s="2"/>
      <c r="K270" s="2"/>
      <c r="L270" s="2"/>
      <c r="M270" s="2"/>
    </row>
    <row r="271" spans="1:13" ht="32.25" customHeight="1">
      <c r="A271" s="198"/>
      <c r="B271" s="198"/>
      <c r="C271" s="198"/>
      <c r="D271" s="23"/>
      <c r="E271" s="198"/>
      <c r="F271" s="198"/>
      <c r="G271" s="198"/>
      <c r="H271" s="198"/>
      <c r="I271" s="198"/>
      <c r="J271" s="198"/>
      <c r="K271" s="1"/>
      <c r="L271" s="1"/>
      <c r="M271" s="1"/>
    </row>
    <row r="272" spans="1:13" ht="32.25" customHeight="1">
      <c r="A272" s="199"/>
      <c r="B272" s="199"/>
      <c r="C272" s="199"/>
      <c r="D272" s="199"/>
      <c r="E272" s="199"/>
      <c r="F272" s="199"/>
      <c r="G272" s="199"/>
      <c r="H272" s="199"/>
      <c r="I272" s="199"/>
      <c r="J272" s="199"/>
      <c r="K272" s="199"/>
      <c r="L272" s="199"/>
      <c r="M272" s="199"/>
    </row>
    <row r="273" spans="1:13" ht="32.25" customHeight="1">
      <c r="A273" s="197"/>
      <c r="B273" s="197"/>
      <c r="C273" s="197"/>
      <c r="D273" s="197"/>
      <c r="E273" s="197"/>
      <c r="F273" s="197"/>
      <c r="G273" s="197"/>
      <c r="H273" s="197"/>
      <c r="I273" s="197"/>
      <c r="J273" s="197"/>
      <c r="K273" s="197"/>
      <c r="L273" s="197"/>
      <c r="M273" s="197"/>
    </row>
    <row r="277" spans="1:13" ht="32.25" customHeight="1">
      <c r="I277" s="3"/>
      <c r="J277" s="3"/>
    </row>
    <row r="279" spans="1:13" ht="32.25" customHeight="1">
      <c r="A279" s="2"/>
      <c r="B279" s="85"/>
      <c r="C279" s="86"/>
      <c r="D279" s="87"/>
      <c r="E279" s="87"/>
      <c r="F279" s="87"/>
      <c r="G279" s="4"/>
      <c r="H279" s="4"/>
      <c r="I279" s="4"/>
      <c r="J279" s="4"/>
      <c r="K279" s="4"/>
      <c r="L279" s="4"/>
      <c r="M279" s="4"/>
    </row>
  </sheetData>
  <mergeCells count="35">
    <mergeCell ref="A1:M6"/>
    <mergeCell ref="A8:L8"/>
    <mergeCell ref="A22:L22"/>
    <mergeCell ref="A273:M273"/>
    <mergeCell ref="A271:C271"/>
    <mergeCell ref="E271:G271"/>
    <mergeCell ref="H271:J271"/>
    <mergeCell ref="A272:M272"/>
    <mergeCell ref="J267:M267"/>
    <mergeCell ref="A269:M269"/>
    <mergeCell ref="J268:M268"/>
    <mergeCell ref="A94:L94"/>
    <mergeCell ref="A98:L98"/>
    <mergeCell ref="A120:L120"/>
    <mergeCell ref="A124:L124"/>
    <mergeCell ref="A133:L133"/>
    <mergeCell ref="A26:L26"/>
    <mergeCell ref="A34:L34"/>
    <mergeCell ref="A40:L40"/>
    <mergeCell ref="A50:L50"/>
    <mergeCell ref="A55:L55"/>
    <mergeCell ref="A185:L185"/>
    <mergeCell ref="J194:L194"/>
    <mergeCell ref="J197:L197"/>
    <mergeCell ref="J198:L198"/>
    <mergeCell ref="A59:L59"/>
    <mergeCell ref="A68:L68"/>
    <mergeCell ref="A73:L73"/>
    <mergeCell ref="A77:L77"/>
    <mergeCell ref="A83:L83"/>
    <mergeCell ref="A141:L141"/>
    <mergeCell ref="A150:L150"/>
    <mergeCell ref="A156:L156"/>
    <mergeCell ref="A170:L170"/>
    <mergeCell ref="A180:L180"/>
  </mergeCells>
  <phoneticPr fontId="2" type="noConversion"/>
  <pageMargins left="0.74" right="0.23622047244094491" top="0.35" bottom="0.36" header="0.31496062992125984" footer="0.31496062992125984"/>
  <pageSetup paperSize="5" scale="48" fitToHeight="0" orientation="landscape" r:id="rId1"/>
  <ignoredErrors>
    <ignoredError sqref="H76 G39 H39:I39 K58 G97:H97 K106 K112 K160 K176 I184 I58:J58" formula="1"/>
    <ignoredError sqref="K128" formulaRange="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0413-A3A7-4797-BC99-64FBB3C3834F}">
  <dimension ref="A1:N98"/>
  <sheetViews>
    <sheetView workbookViewId="0">
      <selection sqref="A1:M6"/>
    </sheetView>
  </sheetViews>
  <sheetFormatPr baseColWidth="10" defaultColWidth="11.42578125" defaultRowHeight="15"/>
  <cols>
    <col min="2" max="2" width="42.5703125" bestFit="1" customWidth="1"/>
    <col min="3" max="3" width="38.140625" bestFit="1" customWidth="1"/>
    <col min="5" max="5" width="40.42578125" bestFit="1" customWidth="1"/>
    <col min="7" max="7" width="24.5703125" bestFit="1" customWidth="1"/>
    <col min="13" max="13" width="14.5703125" bestFit="1" customWidth="1"/>
  </cols>
  <sheetData>
    <row r="1" spans="1:13">
      <c r="A1" s="189" t="s">
        <v>366</v>
      </c>
      <c r="B1" s="190"/>
      <c r="C1" s="190"/>
      <c r="D1" s="190"/>
      <c r="E1" s="190"/>
      <c r="F1" s="190"/>
      <c r="G1" s="190"/>
      <c r="H1" s="190"/>
      <c r="I1" s="190"/>
      <c r="J1" s="190"/>
      <c r="K1" s="190"/>
      <c r="L1" s="190"/>
      <c r="M1" s="191"/>
    </row>
    <row r="2" spans="1:13">
      <c r="A2" s="192"/>
      <c r="B2" s="193"/>
      <c r="C2" s="193"/>
      <c r="D2" s="193"/>
      <c r="E2" s="193"/>
      <c r="F2" s="193"/>
      <c r="G2" s="193"/>
      <c r="H2" s="193"/>
      <c r="I2" s="193"/>
      <c r="J2" s="193"/>
      <c r="K2" s="193"/>
      <c r="L2" s="193"/>
      <c r="M2" s="194"/>
    </row>
    <row r="3" spans="1:13">
      <c r="A3" s="192"/>
      <c r="B3" s="193"/>
      <c r="C3" s="193"/>
      <c r="D3" s="193"/>
      <c r="E3" s="193"/>
      <c r="F3" s="193"/>
      <c r="G3" s="193"/>
      <c r="H3" s="193"/>
      <c r="I3" s="193"/>
      <c r="J3" s="193"/>
      <c r="K3" s="193"/>
      <c r="L3" s="193"/>
      <c r="M3" s="194"/>
    </row>
    <row r="4" spans="1:13">
      <c r="A4" s="192"/>
      <c r="B4" s="193"/>
      <c r="C4" s="193"/>
      <c r="D4" s="193"/>
      <c r="E4" s="193"/>
      <c r="F4" s="193"/>
      <c r="G4" s="193"/>
      <c r="H4" s="193"/>
      <c r="I4" s="193"/>
      <c r="J4" s="193"/>
      <c r="K4" s="193"/>
      <c r="L4" s="193"/>
      <c r="M4" s="194"/>
    </row>
    <row r="5" spans="1:13">
      <c r="A5" s="192"/>
      <c r="B5" s="193"/>
      <c r="C5" s="193"/>
      <c r="D5" s="193"/>
      <c r="E5" s="193"/>
      <c r="F5" s="193"/>
      <c r="G5" s="193"/>
      <c r="H5" s="193"/>
      <c r="I5" s="193"/>
      <c r="J5" s="193"/>
      <c r="K5" s="193"/>
      <c r="L5" s="193"/>
      <c r="M5" s="194"/>
    </row>
    <row r="6" spans="1:13">
      <c r="A6" s="192"/>
      <c r="B6" s="193"/>
      <c r="C6" s="193"/>
      <c r="D6" s="193"/>
      <c r="E6" s="193"/>
      <c r="F6" s="193"/>
      <c r="G6" s="193"/>
      <c r="H6" s="193"/>
      <c r="I6" s="193"/>
      <c r="J6" s="193"/>
      <c r="K6" s="193"/>
      <c r="L6" s="193"/>
      <c r="M6" s="194"/>
    </row>
    <row r="7" spans="1:13" ht="20.25">
      <c r="A7" s="89" t="s">
        <v>259</v>
      </c>
      <c r="B7" s="89" t="s">
        <v>1</v>
      </c>
      <c r="C7" s="89" t="s">
        <v>2</v>
      </c>
      <c r="D7" s="89" t="s">
        <v>3</v>
      </c>
      <c r="E7" s="89" t="s">
        <v>4</v>
      </c>
      <c r="F7" s="89"/>
      <c r="G7" s="89" t="s">
        <v>5</v>
      </c>
      <c r="H7" s="89" t="s">
        <v>6</v>
      </c>
      <c r="I7" s="89" t="s">
        <v>7</v>
      </c>
      <c r="J7" s="89" t="s">
        <v>260</v>
      </c>
      <c r="K7" s="89" t="s">
        <v>9</v>
      </c>
      <c r="L7" s="89"/>
      <c r="M7" s="89"/>
    </row>
    <row r="8" spans="1:13" ht="26.25">
      <c r="A8" s="204" t="s">
        <v>261</v>
      </c>
      <c r="B8" s="204"/>
      <c r="C8" s="204"/>
      <c r="D8" s="204"/>
      <c r="E8" s="204"/>
      <c r="F8" s="204"/>
      <c r="G8" s="204"/>
      <c r="H8" s="204"/>
      <c r="I8" s="204"/>
      <c r="J8" s="204"/>
      <c r="K8" s="204"/>
      <c r="L8" s="204"/>
      <c r="M8" s="204"/>
    </row>
    <row r="9" spans="1:13" ht="18">
      <c r="A9" s="90" t="s">
        <v>11</v>
      </c>
      <c r="B9" s="91" t="s">
        <v>12</v>
      </c>
      <c r="C9" s="91" t="s">
        <v>13</v>
      </c>
      <c r="D9" s="91" t="s">
        <v>14</v>
      </c>
      <c r="E9" s="91" t="s">
        <v>15</v>
      </c>
      <c r="F9" s="91" t="s">
        <v>262</v>
      </c>
      <c r="G9" s="91" t="s">
        <v>16</v>
      </c>
      <c r="H9" s="91" t="s">
        <v>17</v>
      </c>
      <c r="I9" s="91" t="s">
        <v>18</v>
      </c>
      <c r="J9" s="91" t="s">
        <v>19</v>
      </c>
      <c r="K9" s="91" t="s">
        <v>20</v>
      </c>
      <c r="L9" s="91" t="s">
        <v>21</v>
      </c>
      <c r="M9" s="92" t="s">
        <v>22</v>
      </c>
    </row>
    <row r="10" spans="1:13" ht="15.75">
      <c r="A10" s="93">
        <v>1</v>
      </c>
      <c r="B10" s="94" t="s">
        <v>263</v>
      </c>
      <c r="C10" s="94" t="s">
        <v>264</v>
      </c>
      <c r="D10" s="95" t="s">
        <v>29</v>
      </c>
      <c r="E10" s="95" t="s">
        <v>265</v>
      </c>
      <c r="F10" s="95" t="s">
        <v>266</v>
      </c>
      <c r="G10" s="96">
        <v>45000</v>
      </c>
      <c r="H10" s="96">
        <v>1291.5</v>
      </c>
      <c r="I10" s="97" t="s">
        <v>267</v>
      </c>
      <c r="J10" s="98">
        <v>1368</v>
      </c>
      <c r="K10" s="96">
        <v>25</v>
      </c>
      <c r="L10" s="98">
        <f>H10+I10+J10+K10</f>
        <v>2684.5</v>
      </c>
      <c r="M10" s="99">
        <f>+G10-L10</f>
        <v>42315.5</v>
      </c>
    </row>
    <row r="11" spans="1:13" ht="30">
      <c r="A11" s="93">
        <v>2</v>
      </c>
      <c r="B11" s="100" t="s">
        <v>268</v>
      </c>
      <c r="C11" s="100" t="s">
        <v>269</v>
      </c>
      <c r="D11" s="95" t="s">
        <v>25</v>
      </c>
      <c r="E11" s="95" t="s">
        <v>265</v>
      </c>
      <c r="F11" s="95" t="s">
        <v>270</v>
      </c>
      <c r="G11" s="101">
        <v>115000</v>
      </c>
      <c r="H11" s="101">
        <f>G11*2.87%</f>
        <v>3300.5</v>
      </c>
      <c r="I11" s="101">
        <v>15633.81</v>
      </c>
      <c r="J11" s="101">
        <v>3496</v>
      </c>
      <c r="K11" s="101">
        <v>4327.26</v>
      </c>
      <c r="L11" s="101">
        <f t="shared" ref="L11" si="0">H11+I11+J11+K11</f>
        <v>26757.57</v>
      </c>
      <c r="M11" s="102">
        <f>+G11-L11</f>
        <v>88242.43</v>
      </c>
    </row>
    <row r="12" spans="1:13" ht="31.5">
      <c r="A12" s="103" t="s">
        <v>49</v>
      </c>
      <c r="B12" s="104"/>
      <c r="C12" s="104"/>
      <c r="D12" s="104"/>
      <c r="E12" s="104"/>
      <c r="F12" s="104" t="s">
        <v>271</v>
      </c>
      <c r="G12" s="105">
        <f t="shared" ref="G12:L12" si="1">SUM(G10:G11)</f>
        <v>160000</v>
      </c>
      <c r="H12" s="105">
        <f t="shared" si="1"/>
        <v>4592</v>
      </c>
      <c r="I12" s="101">
        <f>SUM(I11)</f>
        <v>15633.81</v>
      </c>
      <c r="J12" s="105">
        <f t="shared" si="1"/>
        <v>4864</v>
      </c>
      <c r="K12" s="105">
        <f>SUM(K10:K11)</f>
        <v>4352.26</v>
      </c>
      <c r="L12" s="105">
        <f t="shared" si="1"/>
        <v>29442.07</v>
      </c>
      <c r="M12" s="106">
        <f>SUM(M10:M11)</f>
        <v>130557.93</v>
      </c>
    </row>
    <row r="13" spans="1:13" ht="27" thickBot="1">
      <c r="A13" s="205" t="s">
        <v>272</v>
      </c>
      <c r="B13" s="206"/>
      <c r="C13" s="206"/>
      <c r="D13" s="206"/>
      <c r="E13" s="206"/>
      <c r="F13" s="206"/>
      <c r="G13" s="206"/>
      <c r="H13" s="206"/>
      <c r="I13" s="206"/>
      <c r="J13" s="206"/>
      <c r="K13" s="206"/>
      <c r="L13" s="206"/>
      <c r="M13" s="207"/>
    </row>
    <row r="14" spans="1:13" ht="18.75" thickBot="1">
      <c r="A14" s="107" t="s">
        <v>11</v>
      </c>
      <c r="B14" s="107" t="s">
        <v>12</v>
      </c>
      <c r="C14" s="107" t="s">
        <v>13</v>
      </c>
      <c r="D14" s="107" t="s">
        <v>14</v>
      </c>
      <c r="E14" s="107" t="s">
        <v>15</v>
      </c>
      <c r="F14" s="107" t="s">
        <v>262</v>
      </c>
      <c r="G14" s="107" t="s">
        <v>16</v>
      </c>
      <c r="H14" s="107" t="s">
        <v>17</v>
      </c>
      <c r="I14" s="107" t="s">
        <v>18</v>
      </c>
      <c r="J14" s="107" t="s">
        <v>19</v>
      </c>
      <c r="K14" s="107" t="s">
        <v>20</v>
      </c>
      <c r="L14" s="107" t="s">
        <v>21</v>
      </c>
      <c r="M14" s="107" t="s">
        <v>22</v>
      </c>
    </row>
    <row r="15" spans="1:13" ht="30">
      <c r="A15" s="95">
        <v>3</v>
      </c>
      <c r="B15" s="94" t="s">
        <v>273</v>
      </c>
      <c r="C15" s="100" t="s">
        <v>77</v>
      </c>
      <c r="D15" s="95" t="s">
        <v>25</v>
      </c>
      <c r="E15" s="95" t="s">
        <v>265</v>
      </c>
      <c r="F15" s="95" t="s">
        <v>274</v>
      </c>
      <c r="G15" s="108">
        <v>55000</v>
      </c>
      <c r="H15" s="108">
        <v>1578.5</v>
      </c>
      <c r="I15" s="108">
        <v>2559.67</v>
      </c>
      <c r="J15" s="101">
        <v>1672</v>
      </c>
      <c r="K15" s="108">
        <v>28468.080000000002</v>
      </c>
      <c r="L15" s="101">
        <f>H15+I15+J15+K15</f>
        <v>34278.25</v>
      </c>
      <c r="M15" s="105">
        <f>+G15-L15</f>
        <v>20721.75</v>
      </c>
    </row>
    <row r="16" spans="1:13" ht="31.5">
      <c r="A16" s="109" t="s">
        <v>49</v>
      </c>
      <c r="B16" s="110"/>
      <c r="C16" s="110"/>
      <c r="D16" s="110"/>
      <c r="E16" s="110"/>
      <c r="F16" s="110" t="s">
        <v>271</v>
      </c>
      <c r="G16" s="111">
        <f t="shared" ref="G16:M16" si="2">SUM(G15:G15)</f>
        <v>55000</v>
      </c>
      <c r="H16" s="111">
        <f t="shared" si="2"/>
        <v>1578.5</v>
      </c>
      <c r="I16" s="111">
        <f>SUM(I15:I15)</f>
        <v>2559.67</v>
      </c>
      <c r="J16" s="112">
        <f t="shared" si="2"/>
        <v>1672</v>
      </c>
      <c r="K16" s="112">
        <f t="shared" si="2"/>
        <v>28468.080000000002</v>
      </c>
      <c r="L16" s="112">
        <f t="shared" si="2"/>
        <v>34278.25</v>
      </c>
      <c r="M16" s="112">
        <f t="shared" si="2"/>
        <v>20721.75</v>
      </c>
    </row>
    <row r="17" spans="1:13" ht="27" thickBot="1">
      <c r="A17" s="205" t="s">
        <v>275</v>
      </c>
      <c r="B17" s="206"/>
      <c r="C17" s="206"/>
      <c r="D17" s="206"/>
      <c r="E17" s="206"/>
      <c r="F17" s="206"/>
      <c r="G17" s="206"/>
      <c r="H17" s="206"/>
      <c r="I17" s="206"/>
      <c r="J17" s="206"/>
      <c r="K17" s="206"/>
      <c r="L17" s="206"/>
      <c r="M17" s="207"/>
    </row>
    <row r="18" spans="1:13" ht="18.75" thickBot="1">
      <c r="A18" s="113" t="s">
        <v>11</v>
      </c>
      <c r="B18" s="113" t="s">
        <v>12</v>
      </c>
      <c r="C18" s="113" t="s">
        <v>13</v>
      </c>
      <c r="D18" s="113" t="s">
        <v>14</v>
      </c>
      <c r="E18" s="113" t="s">
        <v>15</v>
      </c>
      <c r="F18" s="113" t="s">
        <v>262</v>
      </c>
      <c r="G18" s="113" t="s">
        <v>16</v>
      </c>
      <c r="H18" s="113" t="s">
        <v>17</v>
      </c>
      <c r="I18" s="113" t="s">
        <v>18</v>
      </c>
      <c r="J18" s="113" t="s">
        <v>19</v>
      </c>
      <c r="K18" s="113" t="s">
        <v>20</v>
      </c>
      <c r="L18" s="113" t="s">
        <v>21</v>
      </c>
      <c r="M18" s="113" t="s">
        <v>22</v>
      </c>
    </row>
    <row r="19" spans="1:13" ht="15.75">
      <c r="A19" s="95">
        <v>4</v>
      </c>
      <c r="B19" s="100" t="s">
        <v>276</v>
      </c>
      <c r="C19" s="100" t="s">
        <v>67</v>
      </c>
      <c r="D19" s="95" t="s">
        <v>29</v>
      </c>
      <c r="E19" s="95" t="s">
        <v>265</v>
      </c>
      <c r="F19" s="95" t="s">
        <v>277</v>
      </c>
      <c r="G19" s="101">
        <v>55000</v>
      </c>
      <c r="H19" s="101">
        <v>1578.5</v>
      </c>
      <c r="I19" s="101">
        <v>2559.67</v>
      </c>
      <c r="J19" s="101">
        <v>1672</v>
      </c>
      <c r="K19" s="101">
        <v>225</v>
      </c>
      <c r="L19" s="101">
        <f>H19+I19+J19+K19</f>
        <v>6035.17</v>
      </c>
      <c r="M19" s="114">
        <f>+G19-L19</f>
        <v>48964.83</v>
      </c>
    </row>
    <row r="20" spans="1:13" ht="31.5">
      <c r="A20" s="109" t="s">
        <v>49</v>
      </c>
      <c r="B20" s="110"/>
      <c r="C20" s="110"/>
      <c r="D20" s="110"/>
      <c r="E20" s="110"/>
      <c r="F20" s="110" t="s">
        <v>271</v>
      </c>
      <c r="G20" s="111">
        <f>+G19</f>
        <v>55000</v>
      </c>
      <c r="H20" s="111">
        <f t="shared" ref="H20" si="3">+H19</f>
        <v>1578.5</v>
      </c>
      <c r="I20" s="111">
        <f>+I19</f>
        <v>2559.67</v>
      </c>
      <c r="J20" s="111">
        <f>+J19</f>
        <v>1672</v>
      </c>
      <c r="K20" s="111">
        <f t="shared" ref="K20:M20" si="4">+K19</f>
        <v>225</v>
      </c>
      <c r="L20" s="111">
        <f t="shared" si="4"/>
        <v>6035.17</v>
      </c>
      <c r="M20" s="111">
        <f t="shared" si="4"/>
        <v>48964.83</v>
      </c>
    </row>
    <row r="21" spans="1:13" ht="27" thickBot="1">
      <c r="A21" s="205" t="s">
        <v>278</v>
      </c>
      <c r="B21" s="206"/>
      <c r="C21" s="206"/>
      <c r="D21" s="206"/>
      <c r="E21" s="206"/>
      <c r="F21" s="206"/>
      <c r="G21" s="206"/>
      <c r="H21" s="206"/>
      <c r="I21" s="206"/>
      <c r="J21" s="206"/>
      <c r="K21" s="206"/>
      <c r="L21" s="206"/>
      <c r="M21" s="207"/>
    </row>
    <row r="22" spans="1:13" ht="18.75" thickBot="1">
      <c r="A22" s="113" t="s">
        <v>11</v>
      </c>
      <c r="B22" s="113" t="s">
        <v>12</v>
      </c>
      <c r="C22" s="113" t="s">
        <v>13</v>
      </c>
      <c r="D22" s="113" t="s">
        <v>14</v>
      </c>
      <c r="E22" s="113" t="s">
        <v>15</v>
      </c>
      <c r="F22" s="113" t="s">
        <v>262</v>
      </c>
      <c r="G22" s="113" t="s">
        <v>16</v>
      </c>
      <c r="H22" s="113" t="s">
        <v>17</v>
      </c>
      <c r="I22" s="113" t="s">
        <v>18</v>
      </c>
      <c r="J22" s="113" t="s">
        <v>19</v>
      </c>
      <c r="K22" s="113" t="s">
        <v>20</v>
      </c>
      <c r="L22" s="113" t="s">
        <v>21</v>
      </c>
      <c r="M22" s="113" t="s">
        <v>22</v>
      </c>
    </row>
    <row r="23" spans="1:13" ht="45">
      <c r="A23" s="95">
        <v>5</v>
      </c>
      <c r="B23" s="100" t="s">
        <v>279</v>
      </c>
      <c r="C23" s="100" t="s">
        <v>280</v>
      </c>
      <c r="D23" s="95" t="s">
        <v>25</v>
      </c>
      <c r="E23" s="95" t="s">
        <v>265</v>
      </c>
      <c r="F23" s="95" t="s">
        <v>281</v>
      </c>
      <c r="G23" s="115">
        <v>122500</v>
      </c>
      <c r="H23" s="115">
        <v>3515.75</v>
      </c>
      <c r="I23" s="115">
        <v>16969.13</v>
      </c>
      <c r="J23" s="115">
        <v>3724</v>
      </c>
      <c r="K23" s="115">
        <v>1740.46</v>
      </c>
      <c r="L23" s="115">
        <f>H23+I23+J23+K23</f>
        <v>25949.34</v>
      </c>
      <c r="M23" s="116">
        <f>+G23-L23</f>
        <v>96550.66</v>
      </c>
    </row>
    <row r="24" spans="1:13" ht="30">
      <c r="A24" s="95">
        <v>6</v>
      </c>
      <c r="B24" s="100" t="s">
        <v>282</v>
      </c>
      <c r="C24" s="100" t="s">
        <v>283</v>
      </c>
      <c r="D24" s="110" t="s">
        <v>25</v>
      </c>
      <c r="E24" s="95" t="s">
        <v>265</v>
      </c>
      <c r="F24" s="95" t="s">
        <v>284</v>
      </c>
      <c r="G24" s="98">
        <v>65000</v>
      </c>
      <c r="H24" s="98">
        <f>G24*0.0287</f>
        <v>1865.5</v>
      </c>
      <c r="I24" s="98">
        <v>4427.55</v>
      </c>
      <c r="J24" s="98">
        <v>1976</v>
      </c>
      <c r="K24" s="98">
        <v>1325</v>
      </c>
      <c r="L24" s="98">
        <f>H24+I24+J24+K24</f>
        <v>9594.0499999999993</v>
      </c>
      <c r="M24" s="98">
        <f>G24-L24</f>
        <v>55405.95</v>
      </c>
    </row>
    <row r="25" spans="1:13" ht="30">
      <c r="A25" s="95">
        <v>7</v>
      </c>
      <c r="B25" s="100" t="s">
        <v>285</v>
      </c>
      <c r="C25" s="100" t="s">
        <v>286</v>
      </c>
      <c r="D25" s="95" t="s">
        <v>25</v>
      </c>
      <c r="E25" s="95" t="s">
        <v>265</v>
      </c>
      <c r="F25" s="95" t="s">
        <v>287</v>
      </c>
      <c r="G25" s="101">
        <v>55000</v>
      </c>
      <c r="H25" s="101">
        <v>1578.5</v>
      </c>
      <c r="I25" s="101">
        <v>2559.67</v>
      </c>
      <c r="J25" s="101">
        <v>1672</v>
      </c>
      <c r="K25" s="101">
        <v>25</v>
      </c>
      <c r="L25" s="101">
        <f>H25+I25+J25+K25</f>
        <v>5835.17</v>
      </c>
      <c r="M25" s="114">
        <f>G25-L25</f>
        <v>49164.83</v>
      </c>
    </row>
    <row r="26" spans="1:13" ht="32.25" thickBot="1">
      <c r="A26" s="109" t="s">
        <v>49</v>
      </c>
      <c r="B26" s="110"/>
      <c r="C26" s="110"/>
      <c r="D26" s="110"/>
      <c r="E26" s="110"/>
      <c r="F26" s="110" t="s">
        <v>271</v>
      </c>
      <c r="G26" s="111">
        <f t="shared" ref="G26:M26" si="5">SUM(G23:G25)</f>
        <v>242500</v>
      </c>
      <c r="H26" s="111">
        <f t="shared" si="5"/>
        <v>6959.75</v>
      </c>
      <c r="I26" s="111">
        <f t="shared" si="5"/>
        <v>23956.35</v>
      </c>
      <c r="J26" s="111">
        <f t="shared" si="5"/>
        <v>7372</v>
      </c>
      <c r="K26" s="111">
        <f t="shared" si="5"/>
        <v>3090.46</v>
      </c>
      <c r="L26" s="111">
        <f t="shared" si="5"/>
        <v>41378.559999999998</v>
      </c>
      <c r="M26" s="111">
        <f t="shared" si="5"/>
        <v>201121.44</v>
      </c>
    </row>
    <row r="27" spans="1:13" ht="27" thickBot="1">
      <c r="A27" s="208" t="s">
        <v>288</v>
      </c>
      <c r="B27" s="209"/>
      <c r="C27" s="209"/>
      <c r="D27" s="209"/>
      <c r="E27" s="209"/>
      <c r="F27" s="209"/>
      <c r="G27" s="209"/>
      <c r="H27" s="209"/>
      <c r="I27" s="209"/>
      <c r="J27" s="209"/>
      <c r="K27" s="209"/>
      <c r="L27" s="209"/>
      <c r="M27" s="210"/>
    </row>
    <row r="28" spans="1:13" ht="18.75" thickBot="1">
      <c r="A28" s="113" t="s">
        <v>11</v>
      </c>
      <c r="B28" s="113" t="s">
        <v>12</v>
      </c>
      <c r="C28" s="113" t="s">
        <v>13</v>
      </c>
      <c r="D28" s="113" t="s">
        <v>14</v>
      </c>
      <c r="E28" s="113" t="s">
        <v>15</v>
      </c>
      <c r="F28" s="113" t="s">
        <v>262</v>
      </c>
      <c r="G28" s="113" t="s">
        <v>16</v>
      </c>
      <c r="H28" s="113" t="s">
        <v>17</v>
      </c>
      <c r="I28" s="113" t="s">
        <v>18</v>
      </c>
      <c r="J28" s="113" t="s">
        <v>19</v>
      </c>
      <c r="K28" s="113" t="s">
        <v>20</v>
      </c>
      <c r="L28" s="113" t="s">
        <v>21</v>
      </c>
      <c r="M28" s="113" t="s">
        <v>22</v>
      </c>
    </row>
    <row r="29" spans="1:13">
      <c r="A29" s="95">
        <v>8</v>
      </c>
      <c r="B29" s="100" t="s">
        <v>289</v>
      </c>
      <c r="C29" s="94" t="s">
        <v>290</v>
      </c>
      <c r="D29" s="95" t="s">
        <v>25</v>
      </c>
      <c r="E29" s="95" t="s">
        <v>265</v>
      </c>
      <c r="F29" s="95" t="s">
        <v>291</v>
      </c>
      <c r="G29" s="101">
        <v>45000</v>
      </c>
      <c r="H29" s="101">
        <f>G29*2.87%</f>
        <v>1291.5</v>
      </c>
      <c r="I29" s="101">
        <v>1148.32</v>
      </c>
      <c r="J29" s="117">
        <v>1368</v>
      </c>
      <c r="K29" s="101">
        <v>1125</v>
      </c>
      <c r="L29" s="101">
        <f>H29+I29+J29+K29</f>
        <v>4932.82</v>
      </c>
      <c r="M29" s="101">
        <f>+G29-L29</f>
        <v>40067.18</v>
      </c>
    </row>
    <row r="30" spans="1:13" ht="31.5">
      <c r="A30" s="109" t="s">
        <v>49</v>
      </c>
      <c r="B30" s="110"/>
      <c r="C30" s="110"/>
      <c r="D30" s="110"/>
      <c r="E30" s="110"/>
      <c r="F30" s="110" t="s">
        <v>271</v>
      </c>
      <c r="G30" s="111">
        <f>+G29</f>
        <v>45000</v>
      </c>
      <c r="H30" s="111">
        <f>+H29</f>
        <v>1291.5</v>
      </c>
      <c r="I30" s="111">
        <v>1148.32</v>
      </c>
      <c r="J30" s="111">
        <v>1368</v>
      </c>
      <c r="K30" s="111">
        <f>+K29</f>
        <v>1125</v>
      </c>
      <c r="L30" s="111">
        <f>+L29</f>
        <v>4932.82</v>
      </c>
      <c r="M30" s="111">
        <f>+M29</f>
        <v>40067.18</v>
      </c>
    </row>
    <row r="31" spans="1:13" ht="27" thickBot="1">
      <c r="A31" s="205" t="s">
        <v>292</v>
      </c>
      <c r="B31" s="206"/>
      <c r="C31" s="206"/>
      <c r="D31" s="206"/>
      <c r="E31" s="206"/>
      <c r="F31" s="206"/>
      <c r="G31" s="206"/>
      <c r="H31" s="206"/>
      <c r="I31" s="206"/>
      <c r="J31" s="206"/>
      <c r="K31" s="206"/>
      <c r="L31" s="206"/>
      <c r="M31" s="207"/>
    </row>
    <row r="32" spans="1:13" ht="18.75" thickBot="1">
      <c r="A32" s="113" t="s">
        <v>11</v>
      </c>
      <c r="B32" s="113" t="s">
        <v>12</v>
      </c>
      <c r="C32" s="113" t="s">
        <v>13</v>
      </c>
      <c r="D32" s="113" t="s">
        <v>14</v>
      </c>
      <c r="E32" s="113" t="s">
        <v>15</v>
      </c>
      <c r="F32" s="113" t="s">
        <v>262</v>
      </c>
      <c r="G32" s="113" t="s">
        <v>16</v>
      </c>
      <c r="H32" s="113" t="s">
        <v>17</v>
      </c>
      <c r="I32" s="113" t="s">
        <v>18</v>
      </c>
      <c r="J32" s="113" t="s">
        <v>19</v>
      </c>
      <c r="K32" s="113" t="s">
        <v>20</v>
      </c>
      <c r="L32" s="113" t="s">
        <v>21</v>
      </c>
      <c r="M32" s="113" t="s">
        <v>22</v>
      </c>
    </row>
    <row r="33" spans="1:13" ht="30">
      <c r="A33" s="95">
        <v>9</v>
      </c>
      <c r="B33" s="100" t="s">
        <v>293</v>
      </c>
      <c r="C33" s="100" t="s">
        <v>294</v>
      </c>
      <c r="D33" s="95" t="s">
        <v>25</v>
      </c>
      <c r="E33" s="95" t="s">
        <v>265</v>
      </c>
      <c r="F33" s="95" t="s">
        <v>295</v>
      </c>
      <c r="G33" s="101">
        <v>55000</v>
      </c>
      <c r="H33" s="101">
        <v>1578.5</v>
      </c>
      <c r="I33" s="101">
        <v>2559.67</v>
      </c>
      <c r="J33" s="101">
        <v>1672</v>
      </c>
      <c r="K33" s="101">
        <v>739.5</v>
      </c>
      <c r="L33" s="101">
        <f>H33+I33+J33+K33</f>
        <v>6549.67</v>
      </c>
      <c r="M33" s="114">
        <f>+G33-L33</f>
        <v>48450.33</v>
      </c>
    </row>
    <row r="34" spans="1:13" ht="31.5">
      <c r="A34" s="109" t="s">
        <v>49</v>
      </c>
      <c r="B34" s="110"/>
      <c r="C34" s="110"/>
      <c r="D34" s="110"/>
      <c r="E34" s="110"/>
      <c r="F34" s="110" t="s">
        <v>271</v>
      </c>
      <c r="G34" s="111">
        <f>+G33</f>
        <v>55000</v>
      </c>
      <c r="H34" s="111">
        <f t="shared" ref="H34:I34" si="6">+H33</f>
        <v>1578.5</v>
      </c>
      <c r="I34" s="111">
        <f t="shared" si="6"/>
        <v>2559.67</v>
      </c>
      <c r="J34" s="111">
        <f>+J33</f>
        <v>1672</v>
      </c>
      <c r="K34" s="111">
        <f t="shared" ref="K34:M34" si="7">+K33</f>
        <v>739.5</v>
      </c>
      <c r="L34" s="111">
        <f t="shared" si="7"/>
        <v>6549.67</v>
      </c>
      <c r="M34" s="111">
        <f t="shared" si="7"/>
        <v>48450.33</v>
      </c>
    </row>
    <row r="35" spans="1:13" ht="15.75">
      <c r="A35" s="109"/>
      <c r="B35" s="110"/>
      <c r="C35" s="110"/>
      <c r="D35" s="110"/>
      <c r="E35" s="110"/>
      <c r="F35" s="110"/>
      <c r="G35" s="111"/>
      <c r="H35" s="111"/>
      <c r="I35" s="111"/>
      <c r="J35" s="111"/>
      <c r="K35" s="111"/>
      <c r="L35" s="111"/>
      <c r="M35" s="111"/>
    </row>
    <row r="36" spans="1:13" ht="15.75">
      <c r="A36" s="109"/>
      <c r="B36" s="110"/>
      <c r="C36" s="110"/>
      <c r="D36" s="110"/>
      <c r="E36" s="110"/>
      <c r="F36" s="110"/>
      <c r="G36" s="111"/>
      <c r="H36" s="111"/>
      <c r="I36" s="111"/>
      <c r="J36" s="111"/>
      <c r="K36" s="111"/>
      <c r="L36" s="111"/>
      <c r="M36" s="111"/>
    </row>
    <row r="37" spans="1:13" ht="16.5" thickBot="1">
      <c r="A37" s="109"/>
      <c r="B37" s="110"/>
      <c r="C37" s="110"/>
      <c r="D37" s="110"/>
      <c r="E37" s="110"/>
      <c r="F37" s="110"/>
      <c r="G37" s="111"/>
      <c r="H37" s="111"/>
      <c r="I37" s="111"/>
      <c r="J37" s="111"/>
      <c r="K37" s="111"/>
      <c r="L37" s="111"/>
      <c r="M37" s="111"/>
    </row>
    <row r="38" spans="1:13" ht="27" thickBot="1">
      <c r="A38" s="211" t="s">
        <v>296</v>
      </c>
      <c r="B38" s="212"/>
      <c r="C38" s="212"/>
      <c r="D38" s="212"/>
      <c r="E38" s="212"/>
      <c r="F38" s="212"/>
      <c r="G38" s="212"/>
      <c r="H38" s="212"/>
      <c r="I38" s="212"/>
      <c r="J38" s="212"/>
      <c r="K38" s="212"/>
      <c r="L38" s="212"/>
      <c r="M38" s="213"/>
    </row>
    <row r="39" spans="1:13" ht="18.75" thickBot="1">
      <c r="A39" s="118" t="s">
        <v>11</v>
      </c>
      <c r="B39" s="119" t="s">
        <v>12</v>
      </c>
      <c r="C39" s="119" t="s">
        <v>13</v>
      </c>
      <c r="D39" s="119" t="s">
        <v>14</v>
      </c>
      <c r="E39" s="119" t="s">
        <v>15</v>
      </c>
      <c r="F39" s="119" t="s">
        <v>262</v>
      </c>
      <c r="G39" s="119" t="s">
        <v>16</v>
      </c>
      <c r="H39" s="119" t="s">
        <v>17</v>
      </c>
      <c r="I39" s="119" t="s">
        <v>18</v>
      </c>
      <c r="J39" s="119" t="s">
        <v>19</v>
      </c>
      <c r="K39" s="119" t="s">
        <v>20</v>
      </c>
      <c r="L39" s="119" t="s">
        <v>21</v>
      </c>
      <c r="M39" s="120" t="s">
        <v>22</v>
      </c>
    </row>
    <row r="40" spans="1:13" ht="34.5">
      <c r="A40" s="121">
        <v>10</v>
      </c>
      <c r="B40" s="122" t="s">
        <v>297</v>
      </c>
      <c r="C40" s="122" t="s">
        <v>298</v>
      </c>
      <c r="D40" s="123" t="s">
        <v>29</v>
      </c>
      <c r="E40" s="95" t="s">
        <v>265</v>
      </c>
      <c r="F40" s="95" t="s">
        <v>299</v>
      </c>
      <c r="G40" s="124">
        <v>82500</v>
      </c>
      <c r="H40" s="124">
        <f>G40*0.0287</f>
        <v>2367.75</v>
      </c>
      <c r="I40" s="124">
        <v>7989</v>
      </c>
      <c r="J40" s="124">
        <v>2508</v>
      </c>
      <c r="K40" s="124">
        <v>14028.9</v>
      </c>
      <c r="L40" s="124">
        <f>SUM(H40:K40)</f>
        <v>26893.65</v>
      </c>
      <c r="M40" s="124">
        <f>+G40-L40</f>
        <v>55606.35</v>
      </c>
    </row>
    <row r="41" spans="1:13" ht="31.5">
      <c r="A41" s="109" t="s">
        <v>49</v>
      </c>
      <c r="B41" s="125"/>
      <c r="C41" s="125"/>
      <c r="D41" s="126"/>
      <c r="E41" s="126"/>
      <c r="F41" s="126"/>
      <c r="G41" s="111">
        <f t="shared" ref="G41:M41" si="8">SUM(G40:G40)</f>
        <v>82500</v>
      </c>
      <c r="H41" s="112">
        <f t="shared" si="8"/>
        <v>2367.75</v>
      </c>
      <c r="I41" s="112">
        <f t="shared" si="8"/>
        <v>7989</v>
      </c>
      <c r="J41" s="112">
        <f t="shared" si="8"/>
        <v>2508</v>
      </c>
      <c r="K41" s="112">
        <f t="shared" si="8"/>
        <v>14028.9</v>
      </c>
      <c r="L41" s="112">
        <f t="shared" si="8"/>
        <v>26893.65</v>
      </c>
      <c r="M41" s="112">
        <f t="shared" si="8"/>
        <v>55606.35</v>
      </c>
    </row>
    <row r="42" spans="1:13" ht="16.5" thickBot="1">
      <c r="A42" s="109"/>
      <c r="B42" s="110"/>
      <c r="C42" s="110"/>
      <c r="D42" s="110"/>
      <c r="E42" s="110"/>
      <c r="G42" s="111"/>
      <c r="H42" s="111"/>
      <c r="I42" s="111"/>
      <c r="J42" s="111"/>
      <c r="K42" s="111"/>
      <c r="L42" s="111"/>
      <c r="M42" s="111"/>
    </row>
    <row r="43" spans="1:13" ht="27" thickBot="1">
      <c r="A43" s="208" t="s">
        <v>300</v>
      </c>
      <c r="B43" s="209"/>
      <c r="C43" s="209"/>
      <c r="D43" s="209"/>
      <c r="E43" s="209"/>
      <c r="F43" s="209"/>
      <c r="G43" s="209"/>
      <c r="H43" s="209"/>
      <c r="I43" s="209"/>
      <c r="J43" s="209"/>
      <c r="K43" s="209"/>
      <c r="L43" s="209"/>
      <c r="M43" s="210"/>
    </row>
    <row r="44" spans="1:13" ht="18.75" thickBot="1">
      <c r="A44" s="113" t="s">
        <v>11</v>
      </c>
      <c r="B44" s="113" t="s">
        <v>12</v>
      </c>
      <c r="C44" s="113" t="s">
        <v>13</v>
      </c>
      <c r="D44" s="113" t="s">
        <v>14</v>
      </c>
      <c r="E44" s="113" t="s">
        <v>15</v>
      </c>
      <c r="F44" s="113" t="s">
        <v>262</v>
      </c>
      <c r="G44" s="113" t="s">
        <v>16</v>
      </c>
      <c r="H44" s="113" t="s">
        <v>17</v>
      </c>
      <c r="I44" s="113" t="s">
        <v>18</v>
      </c>
      <c r="J44" s="113" t="s">
        <v>19</v>
      </c>
      <c r="K44" s="113" t="s">
        <v>20</v>
      </c>
      <c r="L44" s="113" t="s">
        <v>21</v>
      </c>
      <c r="M44" s="113" t="s">
        <v>22</v>
      </c>
    </row>
    <row r="45" spans="1:13" ht="17.25">
      <c r="A45" s="121">
        <v>11</v>
      </c>
      <c r="B45" s="122" t="s">
        <v>301</v>
      </c>
      <c r="C45" s="122" t="s">
        <v>164</v>
      </c>
      <c r="D45" s="123" t="s">
        <v>29</v>
      </c>
      <c r="E45" s="95" t="s">
        <v>265</v>
      </c>
      <c r="F45" s="95" t="s">
        <v>302</v>
      </c>
      <c r="G45" s="127">
        <v>48000</v>
      </c>
      <c r="H45" s="127">
        <v>1377.6</v>
      </c>
      <c r="I45" s="128">
        <v>0</v>
      </c>
      <c r="J45" s="127">
        <f>IF(G45&lt;75829.93,G45*0.0304,2305.23)</f>
        <v>1459.2</v>
      </c>
      <c r="K45" s="127">
        <v>225</v>
      </c>
      <c r="L45" s="127">
        <f>H45+J45+I45+K45</f>
        <v>3061.8</v>
      </c>
      <c r="M45" s="127">
        <f t="shared" ref="M45" si="9">+G45-L45</f>
        <v>44938.2</v>
      </c>
    </row>
    <row r="46" spans="1:13" ht="32.25" thickBot="1">
      <c r="A46" s="109" t="s">
        <v>49</v>
      </c>
      <c r="B46" s="100"/>
      <c r="C46" s="100"/>
      <c r="D46" s="110"/>
      <c r="E46" s="110"/>
      <c r="F46" s="110"/>
      <c r="G46" s="111">
        <f>SUM(G45)</f>
        <v>48000</v>
      </c>
      <c r="H46" s="111">
        <f t="shared" ref="H46:M46" si="10">SUM(H45)</f>
        <v>1377.6</v>
      </c>
      <c r="I46" s="129" t="s">
        <v>267</v>
      </c>
      <c r="J46" s="130">
        <v>1459.2</v>
      </c>
      <c r="K46" s="111">
        <f t="shared" si="10"/>
        <v>225</v>
      </c>
      <c r="L46" s="111">
        <f t="shared" si="10"/>
        <v>3061.8</v>
      </c>
      <c r="M46" s="111">
        <f t="shared" si="10"/>
        <v>44938.2</v>
      </c>
    </row>
    <row r="47" spans="1:13" ht="27" thickBot="1">
      <c r="A47" s="208" t="s">
        <v>303</v>
      </c>
      <c r="B47" s="209"/>
      <c r="C47" s="209"/>
      <c r="D47" s="209"/>
      <c r="E47" s="209"/>
      <c r="F47" s="209"/>
      <c r="G47" s="209"/>
      <c r="H47" s="209"/>
      <c r="I47" s="209"/>
      <c r="J47" s="209"/>
      <c r="K47" s="209"/>
      <c r="L47" s="209"/>
      <c r="M47" s="210"/>
    </row>
    <row r="48" spans="1:13" ht="18.75" thickBot="1">
      <c r="A48" s="113" t="s">
        <v>11</v>
      </c>
      <c r="B48" s="113" t="s">
        <v>12</v>
      </c>
      <c r="C48" s="113" t="s">
        <v>13</v>
      </c>
      <c r="D48" s="113" t="s">
        <v>14</v>
      </c>
      <c r="E48" s="113" t="s">
        <v>15</v>
      </c>
      <c r="F48" s="113" t="s">
        <v>262</v>
      </c>
      <c r="G48" s="113" t="s">
        <v>16</v>
      </c>
      <c r="H48" s="113" t="s">
        <v>17</v>
      </c>
      <c r="I48" s="113" t="s">
        <v>18</v>
      </c>
      <c r="J48" s="113" t="s">
        <v>19</v>
      </c>
      <c r="K48" s="113" t="s">
        <v>20</v>
      </c>
      <c r="L48" s="113" t="s">
        <v>21</v>
      </c>
      <c r="M48" s="113" t="s">
        <v>22</v>
      </c>
    </row>
    <row r="49" spans="1:13" ht="30">
      <c r="A49" s="95">
        <v>12</v>
      </c>
      <c r="B49" s="100" t="s">
        <v>304</v>
      </c>
      <c r="C49" s="100" t="s">
        <v>305</v>
      </c>
      <c r="D49" s="110" t="s">
        <v>29</v>
      </c>
      <c r="E49" s="95" t="s">
        <v>265</v>
      </c>
      <c r="F49" s="131" t="s">
        <v>306</v>
      </c>
      <c r="G49" s="98">
        <v>90000</v>
      </c>
      <c r="H49" s="98">
        <f>G49*0.0287</f>
        <v>2583</v>
      </c>
      <c r="I49" s="98">
        <v>9324.32</v>
      </c>
      <c r="J49" s="98">
        <v>2736</v>
      </c>
      <c r="K49" s="98">
        <v>1740.46</v>
      </c>
      <c r="L49" s="98">
        <f>+H49+J49+I49+K49</f>
        <v>16383.779999999999</v>
      </c>
      <c r="M49" s="132">
        <f>G49-L49</f>
        <v>73616.22</v>
      </c>
    </row>
    <row r="50" spans="1:13" ht="30">
      <c r="A50" s="95">
        <v>13</v>
      </c>
      <c r="B50" s="100" t="s">
        <v>307</v>
      </c>
      <c r="C50" s="100" t="s">
        <v>308</v>
      </c>
      <c r="D50" s="110" t="s">
        <v>25</v>
      </c>
      <c r="E50" s="95" t="s">
        <v>265</v>
      </c>
      <c r="F50" s="131" t="s">
        <v>309</v>
      </c>
      <c r="G50" s="98">
        <v>80000</v>
      </c>
      <c r="H50" s="98">
        <f>G50*0.0287</f>
        <v>2296</v>
      </c>
      <c r="I50" s="98">
        <v>7400.94</v>
      </c>
      <c r="J50" s="98">
        <v>2432</v>
      </c>
      <c r="K50" s="98">
        <v>1625</v>
      </c>
      <c r="L50" s="98">
        <f>+H50+J50+I50+K50</f>
        <v>13753.939999999999</v>
      </c>
      <c r="M50" s="98">
        <f>+G50-L50</f>
        <v>66246.06</v>
      </c>
    </row>
    <row r="51" spans="1:13" ht="17.25">
      <c r="A51" s="95">
        <v>14</v>
      </c>
      <c r="B51" s="100" t="s">
        <v>310</v>
      </c>
      <c r="C51" s="100" t="s">
        <v>109</v>
      </c>
      <c r="D51" s="95" t="s">
        <v>29</v>
      </c>
      <c r="E51" s="95" t="s">
        <v>265</v>
      </c>
      <c r="F51" s="131" t="s">
        <v>311</v>
      </c>
      <c r="G51" s="98">
        <v>60000</v>
      </c>
      <c r="H51" s="98">
        <f t="shared" ref="H51" si="11">G51*0.0287</f>
        <v>1722</v>
      </c>
      <c r="I51" s="98">
        <v>3143.56</v>
      </c>
      <c r="J51" s="98">
        <v>1824</v>
      </c>
      <c r="K51" s="98">
        <v>2940.46</v>
      </c>
      <c r="L51" s="98">
        <f>H51+I51+J51+K51</f>
        <v>9630.02</v>
      </c>
      <c r="M51" s="98">
        <f t="shared" ref="M51" si="12">+G51-L51</f>
        <v>50369.979999999996</v>
      </c>
    </row>
    <row r="52" spans="1:13" ht="30">
      <c r="A52" s="95">
        <v>15</v>
      </c>
      <c r="B52" s="100" t="s">
        <v>312</v>
      </c>
      <c r="C52" s="100" t="s">
        <v>313</v>
      </c>
      <c r="D52" s="110" t="s">
        <v>29</v>
      </c>
      <c r="E52" s="95" t="s">
        <v>265</v>
      </c>
      <c r="F52" s="131" t="s">
        <v>314</v>
      </c>
      <c r="G52" s="98">
        <v>101500</v>
      </c>
      <c r="H52" s="98">
        <f>G52*0.0287</f>
        <v>2913.05</v>
      </c>
      <c r="I52" s="98">
        <v>12029.41</v>
      </c>
      <c r="J52" s="98">
        <v>3085.6</v>
      </c>
      <c r="K52" s="98">
        <v>1940.46</v>
      </c>
      <c r="L52" s="98">
        <f>H52+I52+J52+K52</f>
        <v>19968.519999999997</v>
      </c>
      <c r="M52" s="98">
        <f>+G52-L52</f>
        <v>81531.48000000001</v>
      </c>
    </row>
    <row r="53" spans="1:13" ht="32.25" thickBot="1">
      <c r="A53" s="109" t="s">
        <v>49</v>
      </c>
      <c r="B53" s="126"/>
      <c r="C53" s="126"/>
      <c r="D53" s="126"/>
      <c r="E53" s="126"/>
      <c r="F53" s="126"/>
      <c r="G53" s="111">
        <f t="shared" ref="G53:M53" si="13">SUM(G49:G52)</f>
        <v>331500</v>
      </c>
      <c r="H53" s="111">
        <f t="shared" si="13"/>
        <v>9514.0499999999993</v>
      </c>
      <c r="I53" s="111">
        <f t="shared" si="13"/>
        <v>31898.23</v>
      </c>
      <c r="J53" s="111">
        <f t="shared" si="13"/>
        <v>10077.6</v>
      </c>
      <c r="K53" s="111">
        <f t="shared" si="13"/>
        <v>8246.380000000001</v>
      </c>
      <c r="L53" s="111">
        <f t="shared" si="13"/>
        <v>59736.259999999995</v>
      </c>
      <c r="M53" s="111">
        <f t="shared" si="13"/>
        <v>271763.74</v>
      </c>
    </row>
    <row r="54" spans="1:13" ht="21" thickBot="1">
      <c r="A54" s="133" t="s">
        <v>259</v>
      </c>
      <c r="B54" s="134" t="s">
        <v>1</v>
      </c>
      <c r="C54" s="135" t="s">
        <v>2</v>
      </c>
      <c r="D54" s="135" t="s">
        <v>315</v>
      </c>
      <c r="E54" s="135" t="s">
        <v>4</v>
      </c>
      <c r="F54" s="135"/>
      <c r="G54" s="135" t="s">
        <v>5</v>
      </c>
      <c r="H54" s="135" t="s">
        <v>6</v>
      </c>
      <c r="I54" s="135" t="s">
        <v>177</v>
      </c>
      <c r="J54" s="135" t="s">
        <v>260</v>
      </c>
      <c r="K54" s="135" t="s">
        <v>9</v>
      </c>
      <c r="L54" s="135"/>
      <c r="M54" s="136"/>
    </row>
    <row r="55" spans="1:13" ht="27" thickBot="1">
      <c r="A55" s="208" t="s">
        <v>316</v>
      </c>
      <c r="B55" s="209"/>
      <c r="C55" s="209"/>
      <c r="D55" s="209"/>
      <c r="E55" s="209"/>
      <c r="F55" s="209"/>
      <c r="G55" s="209"/>
      <c r="H55" s="209"/>
      <c r="I55" s="209"/>
      <c r="J55" s="209"/>
      <c r="K55" s="209"/>
      <c r="L55" s="209"/>
      <c r="M55" s="210"/>
    </row>
    <row r="56" spans="1:13" ht="18.75" thickBot="1">
      <c r="A56" s="113" t="s">
        <v>11</v>
      </c>
      <c r="B56" s="113" t="s">
        <v>12</v>
      </c>
      <c r="C56" s="113" t="s">
        <v>13</v>
      </c>
      <c r="D56" s="113" t="s">
        <v>14</v>
      </c>
      <c r="E56" s="113" t="s">
        <v>15</v>
      </c>
      <c r="F56" s="113" t="s">
        <v>262</v>
      </c>
      <c r="G56" s="113" t="s">
        <v>16</v>
      </c>
      <c r="H56" s="113" t="s">
        <v>17</v>
      </c>
      <c r="I56" s="113" t="s">
        <v>18</v>
      </c>
      <c r="J56" s="113" t="s">
        <v>19</v>
      </c>
      <c r="K56" s="113" t="s">
        <v>20</v>
      </c>
      <c r="L56" s="113" t="s">
        <v>21</v>
      </c>
      <c r="M56" s="113" t="s">
        <v>22</v>
      </c>
    </row>
    <row r="57" spans="1:13" ht="30">
      <c r="A57" s="95">
        <v>16</v>
      </c>
      <c r="B57" s="100" t="s">
        <v>317</v>
      </c>
      <c r="C57" s="100" t="s">
        <v>318</v>
      </c>
      <c r="D57" s="95" t="s">
        <v>25</v>
      </c>
      <c r="E57" s="95" t="s">
        <v>265</v>
      </c>
      <c r="F57" s="95" t="s">
        <v>291</v>
      </c>
      <c r="G57" s="98">
        <v>101500</v>
      </c>
      <c r="H57" s="98">
        <v>2913.05</v>
      </c>
      <c r="I57" s="98">
        <v>12029.41</v>
      </c>
      <c r="J57" s="98">
        <v>3085.6</v>
      </c>
      <c r="K57" s="98">
        <v>5233.76</v>
      </c>
      <c r="L57" s="98">
        <f>H57+J57+I57+K57</f>
        <v>23261.82</v>
      </c>
      <c r="M57" s="98">
        <f>+G57-L57</f>
        <v>78238.179999999993</v>
      </c>
    </row>
    <row r="58" spans="1:13" ht="17.25">
      <c r="A58" s="95">
        <v>17</v>
      </c>
      <c r="B58" s="122" t="s">
        <v>319</v>
      </c>
      <c r="C58" s="122" t="s">
        <v>320</v>
      </c>
      <c r="D58" s="123" t="s">
        <v>25</v>
      </c>
      <c r="E58" s="95" t="s">
        <v>265</v>
      </c>
      <c r="F58" s="95" t="s">
        <v>302</v>
      </c>
      <c r="G58" s="137">
        <v>60000</v>
      </c>
      <c r="H58" s="137">
        <v>1722</v>
      </c>
      <c r="I58" s="137">
        <v>3143.56</v>
      </c>
      <c r="J58" s="137">
        <v>1824</v>
      </c>
      <c r="K58" s="137">
        <v>2454.96</v>
      </c>
      <c r="L58" s="98">
        <f>H58+J58+I58+K58</f>
        <v>9144.52</v>
      </c>
      <c r="M58" s="137">
        <f>+G58-L58</f>
        <v>50855.479999999996</v>
      </c>
    </row>
    <row r="59" spans="1:13" ht="30">
      <c r="A59" s="121">
        <v>18</v>
      </c>
      <c r="B59" s="100" t="s">
        <v>321</v>
      </c>
      <c r="C59" s="100" t="s">
        <v>164</v>
      </c>
      <c r="D59" s="110" t="s">
        <v>25</v>
      </c>
      <c r="E59" s="95" t="s">
        <v>265</v>
      </c>
      <c r="F59" s="95" t="s">
        <v>299</v>
      </c>
      <c r="G59" s="101">
        <v>48000</v>
      </c>
      <c r="H59" s="101">
        <f t="shared" ref="H59" si="14">G59*0.0287</f>
        <v>1377.6</v>
      </c>
      <c r="I59" s="101">
        <v>0</v>
      </c>
      <c r="J59" s="101">
        <f>IF(G59&lt;75829.93,G59*0.0304,2305.23)</f>
        <v>1459.2</v>
      </c>
      <c r="K59" s="101">
        <v>225</v>
      </c>
      <c r="L59" s="101">
        <f>H59+J59+I59+K59</f>
        <v>3061.8</v>
      </c>
      <c r="M59" s="101">
        <f t="shared" ref="M59" si="15">+G59-L59</f>
        <v>44938.2</v>
      </c>
    </row>
    <row r="60" spans="1:13" ht="32.25" thickBot="1">
      <c r="A60" s="109" t="s">
        <v>49</v>
      </c>
      <c r="B60" s="126"/>
      <c r="C60" s="126"/>
      <c r="D60" s="126"/>
      <c r="E60" s="126"/>
      <c r="F60" s="126"/>
      <c r="G60" s="111">
        <f t="shared" ref="G60:M60" si="16">SUM(G57:G59)</f>
        <v>209500</v>
      </c>
      <c r="H60" s="111">
        <f t="shared" si="16"/>
        <v>6012.65</v>
      </c>
      <c r="I60" s="111">
        <f t="shared" si="16"/>
        <v>15172.97</v>
      </c>
      <c r="J60" s="111">
        <f t="shared" si="16"/>
        <v>6368.8</v>
      </c>
      <c r="K60" s="111">
        <f t="shared" si="16"/>
        <v>7913.72</v>
      </c>
      <c r="L60" s="111">
        <f t="shared" si="16"/>
        <v>35468.14</v>
      </c>
      <c r="M60" s="111">
        <f t="shared" si="16"/>
        <v>174031.86</v>
      </c>
    </row>
    <row r="61" spans="1:13" ht="31.5" thickBot="1">
      <c r="A61" s="201" t="s">
        <v>322</v>
      </c>
      <c r="B61" s="202"/>
      <c r="C61" s="202"/>
      <c r="D61" s="202"/>
      <c r="E61" s="202"/>
      <c r="F61" s="202"/>
      <c r="G61" s="202"/>
      <c r="H61" s="202"/>
      <c r="I61" s="202"/>
      <c r="J61" s="202"/>
      <c r="K61" s="202"/>
      <c r="L61" s="202"/>
      <c r="M61" s="203"/>
    </row>
    <row r="62" spans="1:13" ht="18.75" thickBot="1">
      <c r="A62" s="113" t="s">
        <v>11</v>
      </c>
      <c r="B62" s="113" t="s">
        <v>12</v>
      </c>
      <c r="C62" s="113" t="s">
        <v>13</v>
      </c>
      <c r="D62" s="113" t="s">
        <v>14</v>
      </c>
      <c r="E62" s="113" t="s">
        <v>15</v>
      </c>
      <c r="F62" s="113" t="s">
        <v>262</v>
      </c>
      <c r="G62" s="113" t="s">
        <v>16</v>
      </c>
      <c r="H62" s="113" t="s">
        <v>17</v>
      </c>
      <c r="I62" s="113" t="s">
        <v>18</v>
      </c>
      <c r="J62" s="113" t="s">
        <v>19</v>
      </c>
      <c r="K62" s="113" t="s">
        <v>20</v>
      </c>
      <c r="L62" s="113" t="s">
        <v>21</v>
      </c>
      <c r="M62" s="113" t="s">
        <v>22</v>
      </c>
    </row>
    <row r="63" spans="1:13" ht="30">
      <c r="A63" s="95">
        <v>19</v>
      </c>
      <c r="B63" s="100" t="s">
        <v>323</v>
      </c>
      <c r="C63" s="100" t="s">
        <v>324</v>
      </c>
      <c r="D63" s="110" t="s">
        <v>25</v>
      </c>
      <c r="E63" s="95" t="s">
        <v>265</v>
      </c>
      <c r="F63" s="95" t="s">
        <v>302</v>
      </c>
      <c r="G63" s="98">
        <v>60000</v>
      </c>
      <c r="H63" s="98">
        <v>1722</v>
      </c>
      <c r="I63" s="98">
        <v>3143.56</v>
      </c>
      <c r="J63" s="98">
        <f>IF(G63&lt;75829.93,G63*0.0304,2305.23)</f>
        <v>1824</v>
      </c>
      <c r="K63" s="98">
        <v>10469.200000000001</v>
      </c>
      <c r="L63" s="98">
        <f>H63+J63+I63+K63</f>
        <v>17158.760000000002</v>
      </c>
      <c r="M63" s="98">
        <f>+G63-L63</f>
        <v>42841.24</v>
      </c>
    </row>
    <row r="64" spans="1:13">
      <c r="A64" s="95">
        <v>20</v>
      </c>
      <c r="B64" s="100" t="s">
        <v>325</v>
      </c>
      <c r="C64" s="100" t="s">
        <v>164</v>
      </c>
      <c r="D64" s="110" t="s">
        <v>29</v>
      </c>
      <c r="E64" s="95" t="s">
        <v>265</v>
      </c>
      <c r="F64" s="95" t="s">
        <v>291</v>
      </c>
      <c r="G64" s="98">
        <v>48000</v>
      </c>
      <c r="H64" s="98">
        <f>G64*0.0287</f>
        <v>1377.6</v>
      </c>
      <c r="I64" s="98">
        <v>0</v>
      </c>
      <c r="J64" s="98">
        <f>IF(G64&lt;75829.93,G64*0.0304,2305.23)</f>
        <v>1459.2</v>
      </c>
      <c r="K64" s="98">
        <v>225</v>
      </c>
      <c r="L64" s="98">
        <f>+K64+I64+J64+H64</f>
        <v>3061.8</v>
      </c>
      <c r="M64" s="98">
        <f>+G64-L64</f>
        <v>44938.2</v>
      </c>
    </row>
    <row r="65" spans="1:13">
      <c r="A65" s="95">
        <v>21</v>
      </c>
      <c r="B65" s="100" t="s">
        <v>326</v>
      </c>
      <c r="C65" s="100" t="s">
        <v>196</v>
      </c>
      <c r="D65" s="110" t="s">
        <v>25</v>
      </c>
      <c r="E65" s="95" t="s">
        <v>265</v>
      </c>
      <c r="F65" s="95" t="s">
        <v>327</v>
      </c>
      <c r="G65" s="101">
        <v>60000</v>
      </c>
      <c r="H65" s="101">
        <f>G65*0.0287</f>
        <v>1722</v>
      </c>
      <c r="I65" s="101">
        <v>3486.65</v>
      </c>
      <c r="J65" s="101">
        <f>IF(G65&lt;75829.93,G65*0.0304,2305.23)</f>
        <v>1824</v>
      </c>
      <c r="K65" s="101">
        <v>4225</v>
      </c>
      <c r="L65" s="101">
        <f>+K65+I65+J65+H65</f>
        <v>11257.65</v>
      </c>
      <c r="M65" s="101">
        <f>+G65-L65</f>
        <v>48742.35</v>
      </c>
    </row>
    <row r="66" spans="1:13" ht="31.5">
      <c r="A66" s="109" t="s">
        <v>49</v>
      </c>
      <c r="B66" s="100"/>
      <c r="C66" s="100"/>
      <c r="D66" s="110"/>
      <c r="E66" s="95"/>
      <c r="F66" s="95" t="s">
        <v>328</v>
      </c>
      <c r="G66" s="111">
        <f t="shared" ref="G66:M66" si="17">SUM(G63:G65)</f>
        <v>168000</v>
      </c>
      <c r="H66" s="111">
        <f t="shared" si="17"/>
        <v>4821.6000000000004</v>
      </c>
      <c r="I66" s="111">
        <f>SUM(I63:I65)</f>
        <v>6630.21</v>
      </c>
      <c r="J66" s="111">
        <f t="shared" si="17"/>
        <v>5107.2</v>
      </c>
      <c r="K66" s="111">
        <f t="shared" si="17"/>
        <v>14919.2</v>
      </c>
      <c r="L66" s="112">
        <f t="shared" si="17"/>
        <v>31478.21</v>
      </c>
      <c r="M66" s="111">
        <f t="shared" si="17"/>
        <v>136521.79</v>
      </c>
    </row>
    <row r="67" spans="1:13" ht="15.75">
      <c r="A67" s="109"/>
      <c r="B67" s="100"/>
      <c r="C67" s="100"/>
      <c r="D67" s="110"/>
      <c r="E67" s="95"/>
      <c r="F67" s="95"/>
      <c r="G67" s="111"/>
      <c r="H67" s="111"/>
      <c r="I67" s="111"/>
      <c r="J67" s="111"/>
      <c r="K67" s="111"/>
      <c r="L67" s="112"/>
      <c r="M67" s="111"/>
    </row>
    <row r="68" spans="1:13" ht="15.75">
      <c r="A68" s="109"/>
      <c r="B68" s="100"/>
      <c r="C68" s="100"/>
      <c r="D68" s="110"/>
      <c r="E68" s="95"/>
      <c r="F68" s="95"/>
      <c r="G68" s="111"/>
      <c r="H68" s="111"/>
      <c r="I68" s="111"/>
      <c r="J68" s="111"/>
      <c r="K68" s="111"/>
      <c r="L68" s="112"/>
      <c r="M68" s="111"/>
    </row>
    <row r="69" spans="1:13" ht="16.5" thickBot="1">
      <c r="A69" s="109"/>
      <c r="B69" s="100"/>
      <c r="C69" s="100"/>
      <c r="D69" s="110"/>
      <c r="E69" s="95"/>
      <c r="F69" s="95"/>
      <c r="G69" s="111"/>
      <c r="H69" s="111"/>
      <c r="I69" s="111"/>
      <c r="J69" s="111"/>
      <c r="K69" s="111"/>
      <c r="L69" s="138"/>
      <c r="M69" s="111"/>
    </row>
    <row r="70" spans="1:13" ht="27" thickBot="1">
      <c r="A70" s="208" t="s">
        <v>329</v>
      </c>
      <c r="B70" s="209"/>
      <c r="C70" s="209"/>
      <c r="D70" s="209"/>
      <c r="E70" s="209"/>
      <c r="F70" s="209"/>
      <c r="G70" s="209"/>
      <c r="H70" s="209"/>
      <c r="I70" s="209"/>
      <c r="J70" s="209"/>
      <c r="K70" s="209"/>
      <c r="L70" s="209"/>
      <c r="M70" s="210"/>
    </row>
    <row r="71" spans="1:13" ht="18.75" thickBot="1">
      <c r="A71" s="113" t="s">
        <v>11</v>
      </c>
      <c r="B71" s="113" t="s">
        <v>12</v>
      </c>
      <c r="C71" s="113" t="s">
        <v>13</v>
      </c>
      <c r="D71" s="113" t="s">
        <v>14</v>
      </c>
      <c r="E71" s="113" t="s">
        <v>15</v>
      </c>
      <c r="F71" s="113" t="s">
        <v>262</v>
      </c>
      <c r="G71" s="113" t="s">
        <v>16</v>
      </c>
      <c r="H71" s="113" t="s">
        <v>17</v>
      </c>
      <c r="I71" s="113" t="s">
        <v>18</v>
      </c>
      <c r="J71" s="113" t="s">
        <v>19</v>
      </c>
      <c r="K71" s="113" t="s">
        <v>20</v>
      </c>
      <c r="L71" s="113" t="s">
        <v>21</v>
      </c>
      <c r="M71" s="113" t="s">
        <v>22</v>
      </c>
    </row>
    <row r="72" spans="1:13" ht="17.25">
      <c r="A72" s="95">
        <v>22</v>
      </c>
      <c r="B72" s="122" t="s">
        <v>330</v>
      </c>
      <c r="C72" s="122" t="s">
        <v>86</v>
      </c>
      <c r="D72" s="123" t="s">
        <v>29</v>
      </c>
      <c r="E72" s="95" t="s">
        <v>265</v>
      </c>
      <c r="F72" s="95" t="s">
        <v>302</v>
      </c>
      <c r="G72" s="124">
        <v>48000</v>
      </c>
      <c r="H72" s="124">
        <f>G72*0.0287</f>
        <v>1377.6</v>
      </c>
      <c r="I72" s="124">
        <v>0</v>
      </c>
      <c r="J72" s="124">
        <v>1459.2</v>
      </c>
      <c r="K72" s="124">
        <v>25</v>
      </c>
      <c r="L72" s="124">
        <f>H72+J72+I72+K72</f>
        <v>2861.8</v>
      </c>
      <c r="M72" s="124">
        <f>+G72-L72</f>
        <v>45138.2</v>
      </c>
    </row>
    <row r="73" spans="1:13" ht="32.25" thickBot="1">
      <c r="A73" s="109" t="s">
        <v>49</v>
      </c>
      <c r="B73" s="122"/>
      <c r="C73" s="122"/>
      <c r="D73" s="123"/>
      <c r="E73" s="95"/>
      <c r="F73" s="95"/>
      <c r="G73" s="132">
        <f>+G72</f>
        <v>48000</v>
      </c>
      <c r="H73" s="132">
        <f>G73*0.0287</f>
        <v>1377.6</v>
      </c>
      <c r="I73" s="132">
        <f>+I72</f>
        <v>0</v>
      </c>
      <c r="J73" s="132">
        <f>+J72</f>
        <v>1459.2</v>
      </c>
      <c r="K73" s="132">
        <f>+K72</f>
        <v>25</v>
      </c>
      <c r="L73" s="132">
        <f>H73+J73+I73+K73</f>
        <v>2861.8</v>
      </c>
      <c r="M73" s="132">
        <f>+G73-L73</f>
        <v>45138.2</v>
      </c>
    </row>
    <row r="74" spans="1:13" ht="31.5" thickBot="1">
      <c r="A74" s="201" t="s">
        <v>331</v>
      </c>
      <c r="B74" s="202"/>
      <c r="C74" s="202"/>
      <c r="D74" s="202"/>
      <c r="E74" s="202"/>
      <c r="F74" s="202"/>
      <c r="G74" s="202"/>
      <c r="H74" s="202"/>
      <c r="I74" s="202"/>
      <c r="J74" s="202"/>
      <c r="K74" s="202"/>
      <c r="L74" s="202"/>
      <c r="M74" s="203"/>
    </row>
    <row r="75" spans="1:13" ht="18.75" thickBot="1">
      <c r="A75" s="113" t="s">
        <v>11</v>
      </c>
      <c r="B75" s="113" t="s">
        <v>12</v>
      </c>
      <c r="C75" s="113" t="s">
        <v>13</v>
      </c>
      <c r="D75" s="113" t="s">
        <v>14</v>
      </c>
      <c r="E75" s="113" t="s">
        <v>15</v>
      </c>
      <c r="F75" s="113" t="s">
        <v>262</v>
      </c>
      <c r="G75" s="113" t="s">
        <v>16</v>
      </c>
      <c r="H75" s="113" t="s">
        <v>17</v>
      </c>
      <c r="I75" s="113" t="s">
        <v>18</v>
      </c>
      <c r="J75" s="113" t="s">
        <v>19</v>
      </c>
      <c r="K75" s="113" t="s">
        <v>20</v>
      </c>
      <c r="L75" s="113" t="s">
        <v>21</v>
      </c>
      <c r="M75" s="113" t="s">
        <v>22</v>
      </c>
    </row>
    <row r="76" spans="1:13" ht="17.25">
      <c r="A76" s="121">
        <v>23</v>
      </c>
      <c r="B76" s="139" t="s">
        <v>332</v>
      </c>
      <c r="C76" s="139" t="s">
        <v>333</v>
      </c>
      <c r="D76" s="121" t="s">
        <v>25</v>
      </c>
      <c r="E76" s="95" t="s">
        <v>265</v>
      </c>
      <c r="F76" s="95" t="s">
        <v>266</v>
      </c>
      <c r="G76" s="140">
        <v>60000</v>
      </c>
      <c r="H76" s="140">
        <f>G76*0.0287</f>
        <v>1722</v>
      </c>
      <c r="I76" s="98">
        <v>3486.65</v>
      </c>
      <c r="J76" s="140">
        <v>1824</v>
      </c>
      <c r="K76" s="140">
        <v>1225</v>
      </c>
      <c r="L76" s="141">
        <f>H76+J76+I76+K76</f>
        <v>8257.65</v>
      </c>
      <c r="M76" s="98">
        <f>+G76-L76</f>
        <v>51742.35</v>
      </c>
    </row>
    <row r="77" spans="1:13" ht="17.25">
      <c r="A77" s="121">
        <v>24</v>
      </c>
      <c r="B77" s="139" t="s">
        <v>334</v>
      </c>
      <c r="C77" s="139" t="s">
        <v>196</v>
      </c>
      <c r="D77" s="121" t="s">
        <v>29</v>
      </c>
      <c r="E77" s="95" t="s">
        <v>265</v>
      </c>
      <c r="F77" s="95" t="s">
        <v>335</v>
      </c>
      <c r="G77" s="140">
        <v>60000</v>
      </c>
      <c r="H77" s="140">
        <f t="shared" ref="H77:H80" si="18">G77*0.0287</f>
        <v>1722</v>
      </c>
      <c r="I77" s="98">
        <v>3486.65</v>
      </c>
      <c r="J77" s="140">
        <v>1824</v>
      </c>
      <c r="K77" s="140">
        <v>4478.03</v>
      </c>
      <c r="L77" s="141">
        <f>+H77+J77+I77+K77</f>
        <v>11510.68</v>
      </c>
      <c r="M77" s="98">
        <f>+G77-L77</f>
        <v>48489.32</v>
      </c>
    </row>
    <row r="78" spans="1:13" ht="17.25">
      <c r="A78" s="121">
        <v>25</v>
      </c>
      <c r="B78" s="100" t="s">
        <v>336</v>
      </c>
      <c r="C78" s="100" t="s">
        <v>333</v>
      </c>
      <c r="D78" s="110" t="s">
        <v>25</v>
      </c>
      <c r="E78" s="95" t="s">
        <v>265</v>
      </c>
      <c r="F78" s="95" t="s">
        <v>306</v>
      </c>
      <c r="G78" s="98">
        <v>60000</v>
      </c>
      <c r="H78" s="98">
        <f t="shared" si="18"/>
        <v>1722</v>
      </c>
      <c r="I78" s="98">
        <v>3486.65</v>
      </c>
      <c r="J78" s="98">
        <f>IF(G78&lt;75829.93,G78*0.0304,2305.23)</f>
        <v>1824</v>
      </c>
      <c r="K78" s="98">
        <v>1225</v>
      </c>
      <c r="L78" s="98">
        <f>H78+J78+I78+K78</f>
        <v>8257.65</v>
      </c>
      <c r="M78" s="98">
        <f t="shared" ref="M78:M80" si="19">+G78-L78</f>
        <v>51742.35</v>
      </c>
    </row>
    <row r="79" spans="1:13" ht="17.25">
      <c r="A79" s="121">
        <v>26</v>
      </c>
      <c r="B79" s="100" t="s">
        <v>337</v>
      </c>
      <c r="C79" s="100" t="s">
        <v>184</v>
      </c>
      <c r="D79" s="110" t="s">
        <v>25</v>
      </c>
      <c r="E79" s="95" t="s">
        <v>265</v>
      </c>
      <c r="F79" s="95" t="s">
        <v>266</v>
      </c>
      <c r="G79" s="98">
        <v>60000</v>
      </c>
      <c r="H79" s="98">
        <f t="shared" si="18"/>
        <v>1722</v>
      </c>
      <c r="I79" s="98">
        <v>0</v>
      </c>
      <c r="J79" s="98">
        <v>1824</v>
      </c>
      <c r="K79" s="98">
        <v>1225</v>
      </c>
      <c r="L79" s="98">
        <f>H79+J79+I79+K79</f>
        <v>4771</v>
      </c>
      <c r="M79" s="98">
        <f>+G79-L79</f>
        <v>55229</v>
      </c>
    </row>
    <row r="80" spans="1:13" ht="30">
      <c r="A80" s="121">
        <v>27</v>
      </c>
      <c r="B80" s="100" t="s">
        <v>338</v>
      </c>
      <c r="C80" s="100" t="s">
        <v>333</v>
      </c>
      <c r="D80" s="110" t="s">
        <v>25</v>
      </c>
      <c r="E80" s="95" t="s">
        <v>265</v>
      </c>
      <c r="F80" s="95" t="s">
        <v>339</v>
      </c>
      <c r="G80" s="101">
        <v>60000</v>
      </c>
      <c r="H80" s="101">
        <f t="shared" si="18"/>
        <v>1722</v>
      </c>
      <c r="I80" s="101">
        <v>3486.65</v>
      </c>
      <c r="J80" s="101">
        <f>IF(G80&lt;75829.93,G80*0.0304,2305.23)</f>
        <v>1824</v>
      </c>
      <c r="K80" s="101">
        <v>1939.5</v>
      </c>
      <c r="L80" s="101">
        <f>H80+J80+I80+K80</f>
        <v>8972.15</v>
      </c>
      <c r="M80" s="101">
        <f t="shared" si="19"/>
        <v>51027.85</v>
      </c>
    </row>
    <row r="81" spans="1:14" ht="32.25" thickBot="1">
      <c r="A81" s="109" t="s">
        <v>49</v>
      </c>
      <c r="B81" s="100"/>
      <c r="C81" s="100"/>
      <c r="D81" s="110"/>
      <c r="E81" s="95"/>
      <c r="F81" s="95"/>
      <c r="G81" s="111">
        <f t="shared" ref="G81:M81" si="20">SUM(G76:G80)</f>
        <v>300000</v>
      </c>
      <c r="H81" s="111">
        <f t="shared" si="20"/>
        <v>8610</v>
      </c>
      <c r="I81" s="111">
        <f t="shared" si="20"/>
        <v>13946.6</v>
      </c>
      <c r="J81" s="111">
        <f t="shared" si="20"/>
        <v>9120</v>
      </c>
      <c r="K81" s="111">
        <f t="shared" si="20"/>
        <v>10092.529999999999</v>
      </c>
      <c r="L81" s="111">
        <f t="shared" si="20"/>
        <v>41769.130000000005</v>
      </c>
      <c r="M81" s="111">
        <f t="shared" si="20"/>
        <v>258230.87</v>
      </c>
    </row>
    <row r="82" spans="1:14" ht="31.5" thickBot="1">
      <c r="A82" s="201" t="s">
        <v>340</v>
      </c>
      <c r="B82" s="202"/>
      <c r="C82" s="202"/>
      <c r="D82" s="202"/>
      <c r="E82" s="202"/>
      <c r="F82" s="214"/>
      <c r="G82" s="214"/>
      <c r="H82" s="214"/>
      <c r="I82" s="214"/>
      <c r="J82" s="214"/>
      <c r="K82" s="214"/>
      <c r="L82" s="214"/>
      <c r="M82" s="215"/>
    </row>
    <row r="83" spans="1:14" ht="18.75" thickBot="1">
      <c r="A83" s="113" t="s">
        <v>11</v>
      </c>
      <c r="B83" s="113" t="s">
        <v>12</v>
      </c>
      <c r="C83" s="113" t="s">
        <v>13</v>
      </c>
      <c r="D83" s="113" t="s">
        <v>14</v>
      </c>
      <c r="E83" s="142" t="s">
        <v>15</v>
      </c>
      <c r="F83" s="143" t="s">
        <v>262</v>
      </c>
      <c r="G83" s="143" t="s">
        <v>16</v>
      </c>
      <c r="H83" s="143" t="s">
        <v>17</v>
      </c>
      <c r="I83" s="143" t="s">
        <v>18</v>
      </c>
      <c r="J83" s="143" t="s">
        <v>19</v>
      </c>
      <c r="K83" s="143" t="s">
        <v>20</v>
      </c>
      <c r="L83" s="143" t="s">
        <v>21</v>
      </c>
      <c r="M83" s="143" t="s">
        <v>22</v>
      </c>
    </row>
    <row r="84" spans="1:14">
      <c r="A84" s="95">
        <v>28</v>
      </c>
      <c r="B84" s="100" t="s">
        <v>341</v>
      </c>
      <c r="C84" s="100" t="s">
        <v>196</v>
      </c>
      <c r="D84" s="110" t="s">
        <v>29</v>
      </c>
      <c r="E84" s="95" t="s">
        <v>265</v>
      </c>
      <c r="F84" s="95" t="s">
        <v>342</v>
      </c>
      <c r="G84" s="98">
        <v>55000</v>
      </c>
      <c r="H84" s="98">
        <f>G84*0.0287</f>
        <v>1578.5</v>
      </c>
      <c r="I84" s="98">
        <v>2559.67</v>
      </c>
      <c r="J84" s="98">
        <v>1672</v>
      </c>
      <c r="K84" s="98">
        <v>225</v>
      </c>
      <c r="L84" s="98">
        <f>H84+J84+I84+K84</f>
        <v>6035.17</v>
      </c>
      <c r="M84" s="98">
        <f>+G84-L84</f>
        <v>48964.83</v>
      </c>
    </row>
    <row r="85" spans="1:14" ht="30">
      <c r="A85" s="95">
        <v>29</v>
      </c>
      <c r="B85" s="100" t="s">
        <v>343</v>
      </c>
      <c r="C85" s="100" t="s">
        <v>283</v>
      </c>
      <c r="D85" s="110" t="s">
        <v>25</v>
      </c>
      <c r="E85" s="95" t="s">
        <v>265</v>
      </c>
      <c r="F85" s="95" t="s">
        <v>344</v>
      </c>
      <c r="G85" s="101">
        <v>55000</v>
      </c>
      <c r="H85" s="101">
        <v>1578.5</v>
      </c>
      <c r="I85" s="101">
        <v>2559.67</v>
      </c>
      <c r="J85" s="101">
        <v>1672</v>
      </c>
      <c r="K85" s="101">
        <v>18250</v>
      </c>
      <c r="L85" s="101">
        <f>H85+I85+J85+K85</f>
        <v>24060.17</v>
      </c>
      <c r="M85" s="101">
        <f>G85-L85</f>
        <v>30939.83</v>
      </c>
    </row>
    <row r="86" spans="1:14" ht="32.25" thickBot="1">
      <c r="A86" s="109" t="s">
        <v>49</v>
      </c>
      <c r="B86" s="144"/>
      <c r="C86" s="144"/>
      <c r="D86" s="145"/>
      <c r="E86" s="145"/>
      <c r="F86" s="144"/>
      <c r="G86" s="132">
        <f t="shared" ref="G86:M86" si="21">SUM(G84:G85)</f>
        <v>110000</v>
      </c>
      <c r="H86" s="132">
        <f t="shared" si="21"/>
        <v>3157</v>
      </c>
      <c r="I86" s="132">
        <f t="shared" si="21"/>
        <v>5119.34</v>
      </c>
      <c r="J86" s="132">
        <f t="shared" si="21"/>
        <v>3344</v>
      </c>
      <c r="K86" s="132">
        <f t="shared" si="21"/>
        <v>18475</v>
      </c>
      <c r="L86" s="132">
        <f t="shared" si="21"/>
        <v>30095.339999999997</v>
      </c>
      <c r="M86" s="132">
        <f t="shared" si="21"/>
        <v>79904.66</v>
      </c>
    </row>
    <row r="87" spans="1:14" ht="31.5" thickBot="1">
      <c r="A87" s="201" t="s">
        <v>345</v>
      </c>
      <c r="B87" s="202"/>
      <c r="C87" s="202"/>
      <c r="D87" s="202"/>
      <c r="E87" s="202"/>
      <c r="F87" s="202"/>
      <c r="G87" s="202"/>
      <c r="H87" s="202"/>
      <c r="I87" s="202"/>
      <c r="J87" s="202"/>
      <c r="K87" s="202"/>
      <c r="L87" s="202"/>
      <c r="M87" s="203"/>
    </row>
    <row r="88" spans="1:14" ht="18.75" thickBot="1">
      <c r="A88" s="113" t="s">
        <v>11</v>
      </c>
      <c r="B88" s="113" t="s">
        <v>12</v>
      </c>
      <c r="C88" s="113" t="s">
        <v>13</v>
      </c>
      <c r="D88" s="113" t="s">
        <v>14</v>
      </c>
      <c r="E88" s="113" t="s">
        <v>15</v>
      </c>
      <c r="F88" s="113" t="s">
        <v>262</v>
      </c>
      <c r="G88" s="113" t="s">
        <v>16</v>
      </c>
      <c r="H88" s="113" t="s">
        <v>17</v>
      </c>
      <c r="I88" s="113" t="s">
        <v>18</v>
      </c>
      <c r="J88" s="113" t="s">
        <v>19</v>
      </c>
      <c r="K88" s="113" t="s">
        <v>20</v>
      </c>
      <c r="L88" s="113" t="s">
        <v>21</v>
      </c>
      <c r="M88" s="113" t="s">
        <v>22</v>
      </c>
    </row>
    <row r="89" spans="1:14" ht="30">
      <c r="A89" s="95">
        <v>30</v>
      </c>
      <c r="B89" s="100" t="s">
        <v>346</v>
      </c>
      <c r="C89" s="100" t="s">
        <v>347</v>
      </c>
      <c r="D89" s="110" t="s">
        <v>25</v>
      </c>
      <c r="E89" s="95" t="s">
        <v>265</v>
      </c>
      <c r="F89" s="95" t="s">
        <v>291</v>
      </c>
      <c r="G89" s="98">
        <v>122500</v>
      </c>
      <c r="H89" s="98">
        <f>G89*0.0287</f>
        <v>3515.75</v>
      </c>
      <c r="I89" s="98">
        <v>17398</v>
      </c>
      <c r="J89" s="98">
        <v>3724</v>
      </c>
      <c r="K89" s="98">
        <v>225</v>
      </c>
      <c r="L89" s="98">
        <f>H89+J89+I89+K89</f>
        <v>24862.75</v>
      </c>
      <c r="M89" s="98">
        <f>+G89-L89</f>
        <v>97637.25</v>
      </c>
    </row>
    <row r="90" spans="1:14" ht="31.5">
      <c r="A90" s="109" t="s">
        <v>49</v>
      </c>
      <c r="B90" s="100"/>
      <c r="C90" s="100"/>
      <c r="D90" s="110"/>
      <c r="E90" s="110"/>
      <c r="F90" s="110"/>
      <c r="G90" s="132">
        <f>+G89</f>
        <v>122500</v>
      </c>
      <c r="H90" s="114">
        <f>G90*0.0287</f>
        <v>3515.75</v>
      </c>
      <c r="I90" s="132">
        <f>+I89</f>
        <v>17398</v>
      </c>
      <c r="J90" s="132">
        <f>+J89</f>
        <v>3724</v>
      </c>
      <c r="K90" s="132">
        <v>225</v>
      </c>
      <c r="L90" s="132">
        <f>H90+J90+I90+K90</f>
        <v>24862.75</v>
      </c>
      <c r="M90" s="132">
        <f>+G90-L90</f>
        <v>97637.25</v>
      </c>
    </row>
    <row r="91" spans="1:14" ht="35.25" thickBot="1">
      <c r="A91" s="146" t="s">
        <v>348</v>
      </c>
      <c r="B91" s="121"/>
      <c r="C91" s="121"/>
      <c r="D91" s="121"/>
      <c r="E91" s="121"/>
      <c r="F91" s="121"/>
      <c r="G91" s="147">
        <f>G12+G16+G20+G26+G34+G41+G46+G53+G60+G66+G73+G81+G86+G90+G30</f>
        <v>2032500</v>
      </c>
      <c r="H91" s="148">
        <f>H12+H16+H20+H26+H30+H41+H46+H53+H60+H66+H73+H81+H86+H90+H34</f>
        <v>58332.749999999993</v>
      </c>
      <c r="I91" s="147">
        <f>I12+I16+I20+I26+I30+I34+I41+I46+I53+I60+I66+I73+I81+I86+I90</f>
        <v>146571.84000000003</v>
      </c>
      <c r="J91" s="147">
        <f>J12+J16+J20+J26+J30+J34+J41+J46+J53+J60+J66+J73+J81+J86+J90</f>
        <v>61788</v>
      </c>
      <c r="K91" s="147">
        <f>K12+K16+K20+K26+K30+K34+K41+K46+K53+K60+K66+K73+K81+K86+K90</f>
        <v>112151.03</v>
      </c>
      <c r="L91" s="147">
        <f>L12+L16+L20+L26+L30+L34+L41+L46+L53+L60+L66+L73+L81+L86+L90</f>
        <v>378843.62</v>
      </c>
      <c r="M91" s="147">
        <f>M12+M16+M20+M26+M30+M34+M41+M46+M53+M60+M66+M73+M81+M86+M90</f>
        <v>1653656.3799999997</v>
      </c>
      <c r="N91" s="149"/>
    </row>
    <row r="92" spans="1:14" ht="18" thickTop="1">
      <c r="A92" s="146"/>
      <c r="B92" s="121"/>
      <c r="C92" s="121"/>
      <c r="D92" s="121"/>
      <c r="E92" s="121"/>
      <c r="F92" s="121"/>
      <c r="G92" s="150"/>
      <c r="I92" s="150"/>
      <c r="J92" s="150"/>
      <c r="K92" s="150"/>
      <c r="L92" s="150"/>
      <c r="M92" s="151"/>
      <c r="N92" s="149"/>
    </row>
    <row r="93" spans="1:14" ht="17.25">
      <c r="A93" s="2" t="s">
        <v>242</v>
      </c>
      <c r="B93" s="2"/>
      <c r="C93" s="2"/>
      <c r="D93" s="2"/>
      <c r="E93" s="2"/>
      <c r="F93" s="23" t="s">
        <v>243</v>
      </c>
      <c r="G93" s="23"/>
      <c r="H93" s="23"/>
      <c r="J93" s="198" t="s">
        <v>244</v>
      </c>
      <c r="K93" s="198"/>
      <c r="L93" s="198"/>
      <c r="M93" s="198"/>
    </row>
    <row r="94" spans="1:14" ht="17.25">
      <c r="A94" s="2"/>
      <c r="B94" s="2"/>
      <c r="C94" s="2"/>
      <c r="D94" s="2"/>
      <c r="E94" s="2"/>
      <c r="F94" s="23"/>
      <c r="G94" s="23"/>
      <c r="H94" s="23"/>
      <c r="J94" s="23"/>
      <c r="K94" s="23"/>
      <c r="L94" s="23"/>
      <c r="M94" s="23"/>
    </row>
    <row r="95" spans="1:14" ht="17.25">
      <c r="A95" s="152"/>
      <c r="B95" s="2"/>
      <c r="C95" s="2"/>
      <c r="D95" s="2"/>
      <c r="E95" s="2"/>
      <c r="F95" s="2"/>
      <c r="G95" s="25"/>
      <c r="H95" s="25"/>
      <c r="J95" s="25"/>
      <c r="K95" s="25"/>
      <c r="L95" s="25"/>
      <c r="M95" s="153"/>
      <c r="N95" s="149"/>
    </row>
    <row r="96" spans="1:14" ht="17.25">
      <c r="A96" s="83" t="s">
        <v>349</v>
      </c>
      <c r="B96" s="2"/>
      <c r="C96" s="2"/>
      <c r="D96" s="2"/>
      <c r="E96" s="2"/>
      <c r="F96" s="24" t="s">
        <v>247</v>
      </c>
      <c r="G96" s="23"/>
      <c r="H96" s="23"/>
      <c r="J96" s="200" t="s">
        <v>248</v>
      </c>
      <c r="K96" s="200"/>
      <c r="L96" s="200"/>
      <c r="M96" s="200"/>
    </row>
    <row r="97" spans="1:13" ht="17.25">
      <c r="A97" s="2" t="s">
        <v>350</v>
      </c>
      <c r="B97" s="2"/>
      <c r="C97" s="2"/>
      <c r="D97" s="2"/>
      <c r="E97" s="2"/>
      <c r="F97" s="2" t="s">
        <v>250</v>
      </c>
      <c r="G97" s="23"/>
      <c r="H97" s="23"/>
      <c r="J97" s="198" t="s">
        <v>28</v>
      </c>
      <c r="K97" s="198"/>
      <c r="L97" s="198"/>
      <c r="M97" s="198"/>
    </row>
    <row r="98" spans="1:13" ht="17.25">
      <c r="A98" s="197"/>
      <c r="B98" s="197"/>
      <c r="C98" s="197"/>
      <c r="D98" s="197"/>
      <c r="E98" s="197"/>
      <c r="F98" s="197"/>
      <c r="G98" s="197"/>
      <c r="H98" s="197"/>
      <c r="I98" s="197"/>
      <c r="J98" s="197"/>
      <c r="K98" s="197"/>
      <c r="L98" s="197"/>
      <c r="M98" s="197"/>
    </row>
  </sheetData>
  <mergeCells count="20">
    <mergeCell ref="J97:M97"/>
    <mergeCell ref="A98:M98"/>
    <mergeCell ref="A70:M70"/>
    <mergeCell ref="A74:M74"/>
    <mergeCell ref="A82:M82"/>
    <mergeCell ref="A87:M87"/>
    <mergeCell ref="J93:M93"/>
    <mergeCell ref="J96:M96"/>
    <mergeCell ref="A61:M61"/>
    <mergeCell ref="A1:M6"/>
    <mergeCell ref="A8:M8"/>
    <mergeCell ref="A13:M13"/>
    <mergeCell ref="A17:M17"/>
    <mergeCell ref="A21:M21"/>
    <mergeCell ref="A27:M27"/>
    <mergeCell ref="A31:M31"/>
    <mergeCell ref="A38:M38"/>
    <mergeCell ref="A43:M43"/>
    <mergeCell ref="A47:M47"/>
    <mergeCell ref="A55:M5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3F732-B9FE-43E8-AECC-1B1459F547E2}">
  <dimension ref="C3:O27"/>
  <sheetViews>
    <sheetView workbookViewId="0">
      <selection activeCell="E15" sqref="E15"/>
    </sheetView>
  </sheetViews>
  <sheetFormatPr baseColWidth="10" defaultColWidth="11.42578125" defaultRowHeight="15"/>
  <cols>
    <col min="4" max="4" width="25.5703125" customWidth="1"/>
    <col min="5" max="5" width="30.28515625" customWidth="1"/>
    <col min="8" max="8" width="38.7109375" bestFit="1" customWidth="1"/>
  </cols>
  <sheetData>
    <row r="3" spans="3:15">
      <c r="C3" s="216" t="s">
        <v>367</v>
      </c>
      <c r="D3" s="217"/>
      <c r="E3" s="217"/>
      <c r="F3" s="217"/>
      <c r="G3" s="217"/>
      <c r="H3" s="217"/>
      <c r="I3" s="217"/>
      <c r="J3" s="217"/>
      <c r="K3" s="217"/>
      <c r="L3" s="217"/>
      <c r="M3" s="217"/>
      <c r="N3" s="218"/>
    </row>
    <row r="4" spans="3:15">
      <c r="C4" s="219"/>
      <c r="D4" s="193"/>
      <c r="E4" s="193"/>
      <c r="F4" s="193"/>
      <c r="G4" s="193"/>
      <c r="H4" s="193"/>
      <c r="I4" s="193"/>
      <c r="J4" s="193"/>
      <c r="K4" s="193"/>
      <c r="L4" s="193"/>
      <c r="M4" s="193"/>
      <c r="N4" s="220"/>
    </row>
    <row r="5" spans="3:15">
      <c r="C5" s="219"/>
      <c r="D5" s="193"/>
      <c r="E5" s="193"/>
      <c r="F5" s="193"/>
      <c r="G5" s="193"/>
      <c r="H5" s="193"/>
      <c r="I5" s="193"/>
      <c r="J5" s="193"/>
      <c r="K5" s="193"/>
      <c r="L5" s="193"/>
      <c r="M5" s="193"/>
      <c r="N5" s="220"/>
    </row>
    <row r="6" spans="3:15">
      <c r="C6" s="219"/>
      <c r="D6" s="193"/>
      <c r="E6" s="193"/>
      <c r="F6" s="193"/>
      <c r="G6" s="193"/>
      <c r="H6" s="193"/>
      <c r="I6" s="193"/>
      <c r="J6" s="193"/>
      <c r="K6" s="193"/>
      <c r="L6" s="193"/>
      <c r="M6" s="193"/>
      <c r="N6" s="220"/>
    </row>
    <row r="7" spans="3:15">
      <c r="C7" s="219"/>
      <c r="D7" s="193"/>
      <c r="E7" s="193"/>
      <c r="F7" s="193"/>
      <c r="G7" s="193"/>
      <c r="H7" s="193"/>
      <c r="I7" s="193"/>
      <c r="J7" s="193"/>
      <c r="K7" s="193"/>
      <c r="L7" s="193"/>
      <c r="M7" s="193"/>
      <c r="N7" s="220"/>
    </row>
    <row r="8" spans="3:15" ht="15.75" thickBot="1">
      <c r="C8" s="221"/>
      <c r="D8" s="222"/>
      <c r="E8" s="222"/>
      <c r="F8" s="222"/>
      <c r="G8" s="222"/>
      <c r="H8" s="222"/>
      <c r="I8" s="222"/>
      <c r="J8" s="222"/>
      <c r="K8" s="222"/>
      <c r="L8" s="222"/>
      <c r="M8" s="193"/>
      <c r="N8" s="220"/>
    </row>
    <row r="9" spans="3:15" ht="21" thickBot="1">
      <c r="C9" s="154" t="s">
        <v>259</v>
      </c>
      <c r="D9" s="154" t="s">
        <v>1</v>
      </c>
      <c r="E9" s="154" t="s">
        <v>2</v>
      </c>
      <c r="F9" s="154" t="s">
        <v>3</v>
      </c>
      <c r="G9" s="154" t="s">
        <v>4</v>
      </c>
      <c r="H9" s="154" t="s">
        <v>5</v>
      </c>
      <c r="I9" s="154" t="s">
        <v>6</v>
      </c>
      <c r="J9" s="154" t="s">
        <v>7</v>
      </c>
      <c r="K9" s="154" t="s">
        <v>351</v>
      </c>
      <c r="L9" s="155" t="s">
        <v>9</v>
      </c>
      <c r="M9" s="156"/>
      <c r="N9" s="157"/>
    </row>
    <row r="10" spans="3:15" ht="31.5" thickBot="1">
      <c r="C10" s="223" t="s">
        <v>352</v>
      </c>
      <c r="D10" s="224"/>
      <c r="E10" s="224"/>
      <c r="F10" s="224"/>
      <c r="G10" s="224"/>
      <c r="H10" s="224"/>
      <c r="I10" s="224"/>
      <c r="J10" s="224"/>
      <c r="K10" s="224"/>
      <c r="L10" s="224"/>
      <c r="M10" s="225"/>
      <c r="N10" s="226"/>
    </row>
    <row r="11" spans="3:15" ht="21" thickBot="1">
      <c r="C11" s="158" t="s">
        <v>11</v>
      </c>
      <c r="D11" s="159" t="s">
        <v>12</v>
      </c>
      <c r="E11" s="159" t="s">
        <v>13</v>
      </c>
      <c r="F11" s="159" t="s">
        <v>14</v>
      </c>
      <c r="G11" s="159" t="s">
        <v>15</v>
      </c>
      <c r="H11" s="159" t="s">
        <v>16</v>
      </c>
      <c r="I11" s="159" t="s">
        <v>17</v>
      </c>
      <c r="J11" s="159" t="s">
        <v>19</v>
      </c>
      <c r="K11" s="159" t="s">
        <v>18</v>
      </c>
      <c r="L11" s="159" t="s">
        <v>20</v>
      </c>
      <c r="M11" s="159" t="s">
        <v>21</v>
      </c>
      <c r="N11" s="156" t="s">
        <v>22</v>
      </c>
    </row>
    <row r="12" spans="3:15" ht="69">
      <c r="C12" s="160">
        <v>1</v>
      </c>
      <c r="D12" s="161" t="s">
        <v>353</v>
      </c>
      <c r="E12" s="161" t="s">
        <v>354</v>
      </c>
      <c r="F12" s="162" t="s">
        <v>29</v>
      </c>
      <c r="G12" s="162" t="s">
        <v>355</v>
      </c>
      <c r="H12" s="163">
        <v>20000</v>
      </c>
      <c r="I12" s="164">
        <v>0</v>
      </c>
      <c r="J12" s="164">
        <v>0</v>
      </c>
      <c r="K12" s="164">
        <v>0</v>
      </c>
      <c r="L12" s="164">
        <v>0</v>
      </c>
      <c r="M12" s="164">
        <f>+I12+J12+K12+L12</f>
        <v>0</v>
      </c>
      <c r="N12" s="165">
        <f>H12-M12</f>
        <v>20000</v>
      </c>
      <c r="O12" s="166"/>
    </row>
    <row r="13" spans="3:15" ht="69">
      <c r="C13" s="160">
        <v>2</v>
      </c>
      <c r="D13" s="161" t="s">
        <v>356</v>
      </c>
      <c r="E13" s="161" t="s">
        <v>357</v>
      </c>
      <c r="F13" s="162" t="s">
        <v>29</v>
      </c>
      <c r="G13" s="162" t="s">
        <v>355</v>
      </c>
      <c r="H13" s="163">
        <v>16000</v>
      </c>
      <c r="I13" s="164">
        <v>0</v>
      </c>
      <c r="J13" s="164">
        <v>0</v>
      </c>
      <c r="K13" s="164">
        <v>0</v>
      </c>
      <c r="L13" s="164">
        <v>0</v>
      </c>
      <c r="M13" s="164">
        <f t="shared" ref="M13:M16" si="0">+I13+J13+K13+L13</f>
        <v>0</v>
      </c>
      <c r="N13" s="165">
        <v>16000</v>
      </c>
      <c r="O13" s="166"/>
    </row>
    <row r="14" spans="3:15" ht="69">
      <c r="C14" s="160">
        <v>3</v>
      </c>
      <c r="D14" s="161" t="s">
        <v>358</v>
      </c>
      <c r="E14" s="161" t="s">
        <v>357</v>
      </c>
      <c r="F14" s="162" t="s">
        <v>25</v>
      </c>
      <c r="G14" s="162" t="s">
        <v>355</v>
      </c>
      <c r="H14" s="163">
        <v>16000</v>
      </c>
      <c r="I14" s="164">
        <v>0</v>
      </c>
      <c r="J14" s="164">
        <v>0</v>
      </c>
      <c r="K14" s="164">
        <v>0</v>
      </c>
      <c r="L14" s="163">
        <v>7900.16</v>
      </c>
      <c r="M14" s="163">
        <f t="shared" si="0"/>
        <v>7900.16</v>
      </c>
      <c r="N14" s="165">
        <v>8099.84</v>
      </c>
      <c r="O14" s="166"/>
    </row>
    <row r="15" spans="3:15" ht="69">
      <c r="C15" s="160">
        <v>4</v>
      </c>
      <c r="D15" s="161" t="s">
        <v>359</v>
      </c>
      <c r="E15" s="161" t="s">
        <v>360</v>
      </c>
      <c r="F15" s="162" t="s">
        <v>29</v>
      </c>
      <c r="G15" s="162" t="s">
        <v>355</v>
      </c>
      <c r="H15" s="163">
        <v>18000</v>
      </c>
      <c r="I15" s="164">
        <v>0</v>
      </c>
      <c r="J15" s="164">
        <v>0</v>
      </c>
      <c r="K15" s="164">
        <v>0</v>
      </c>
      <c r="L15" s="163">
        <v>4392.16</v>
      </c>
      <c r="M15" s="163">
        <f t="shared" si="0"/>
        <v>4392.16</v>
      </c>
      <c r="N15" s="165">
        <f>H15-M15</f>
        <v>13607.84</v>
      </c>
      <c r="O15" s="166"/>
    </row>
    <row r="16" spans="3:15" ht="69">
      <c r="C16" s="160">
        <v>5</v>
      </c>
      <c r="D16" s="161" t="s">
        <v>361</v>
      </c>
      <c r="E16" s="161" t="s">
        <v>362</v>
      </c>
      <c r="F16" s="162" t="s">
        <v>29</v>
      </c>
      <c r="G16" s="162" t="s">
        <v>355</v>
      </c>
      <c r="H16" s="163">
        <v>12500</v>
      </c>
      <c r="I16" s="164">
        <v>0</v>
      </c>
      <c r="J16" s="164">
        <v>0</v>
      </c>
      <c r="K16" s="164">
        <v>0</v>
      </c>
      <c r="L16" s="164">
        <v>0</v>
      </c>
      <c r="M16" s="164">
        <f t="shared" si="0"/>
        <v>0</v>
      </c>
      <c r="N16" s="165">
        <f t="shared" ref="N16" si="1">H16-M16</f>
        <v>12500</v>
      </c>
      <c r="O16" s="166"/>
    </row>
    <row r="17" spans="3:15" ht="34.5">
      <c r="C17" s="167" t="s">
        <v>49</v>
      </c>
      <c r="D17" s="161"/>
      <c r="E17" s="161"/>
      <c r="F17" s="162"/>
      <c r="G17" s="162"/>
      <c r="H17" s="168">
        <f>SUM(H12:H16)</f>
        <v>82500</v>
      </c>
      <c r="I17" s="169">
        <f>SUM(I11:I16)</f>
        <v>0</v>
      </c>
      <c r="J17" s="169">
        <f>SUM(J11:J16)</f>
        <v>0</v>
      </c>
      <c r="K17" s="170" t="s">
        <v>267</v>
      </c>
      <c r="L17" s="171">
        <f>SUM(L11:L16)</f>
        <v>12292.32</v>
      </c>
      <c r="M17" s="168">
        <f>SUM(M11:M16)</f>
        <v>12292.32</v>
      </c>
      <c r="N17" s="172">
        <f>SUM(N12:N16)</f>
        <v>70207.679999999993</v>
      </c>
      <c r="O17" s="166"/>
    </row>
    <row r="18" spans="3:15" ht="34.5">
      <c r="C18" s="173" t="s">
        <v>348</v>
      </c>
      <c r="D18" s="174"/>
      <c r="E18" s="174"/>
      <c r="F18" s="175"/>
      <c r="G18" s="175"/>
      <c r="H18" s="176">
        <f>+H17</f>
        <v>82500</v>
      </c>
      <c r="I18" s="177">
        <f>+I17</f>
        <v>0</v>
      </c>
      <c r="J18" s="177">
        <f t="shared" ref="J18:M18" si="2">+J17</f>
        <v>0</v>
      </c>
      <c r="K18" s="176" t="str">
        <f t="shared" si="2"/>
        <v>0.00</v>
      </c>
      <c r="L18" s="176">
        <f t="shared" si="2"/>
        <v>12292.32</v>
      </c>
      <c r="M18" s="176">
        <f t="shared" si="2"/>
        <v>12292.32</v>
      </c>
      <c r="N18" s="172">
        <f>+N17</f>
        <v>70207.679999999993</v>
      </c>
      <c r="O18" s="166"/>
    </row>
    <row r="19" spans="3:15" ht="15.75">
      <c r="C19" s="178"/>
      <c r="F19" s="84"/>
      <c r="G19" s="178"/>
      <c r="O19" s="166"/>
    </row>
    <row r="20" spans="3:15" ht="15.75">
      <c r="C20" s="178"/>
      <c r="F20" s="84"/>
      <c r="G20" s="178"/>
      <c r="O20" s="166"/>
    </row>
    <row r="21" spans="3:15" ht="17.25">
      <c r="C21" s="179"/>
      <c r="D21" s="180"/>
      <c r="E21" s="180"/>
      <c r="F21" s="162"/>
      <c r="G21" s="162"/>
      <c r="H21" s="181"/>
      <c r="I21" s="182"/>
      <c r="J21" s="182"/>
      <c r="K21" s="181"/>
      <c r="L21" s="183"/>
      <c r="M21" s="181"/>
      <c r="N21" s="181"/>
      <c r="O21" s="166"/>
    </row>
    <row r="22" spans="3:15" ht="17.25">
      <c r="C22" s="2" t="s">
        <v>242</v>
      </c>
      <c r="D22" s="2"/>
      <c r="E22" s="2"/>
      <c r="F22" s="2"/>
      <c r="G22" s="2"/>
      <c r="H22" s="23" t="s">
        <v>243</v>
      </c>
      <c r="I22" s="23"/>
      <c r="J22" s="23"/>
      <c r="K22" s="166"/>
      <c r="L22" s="198" t="s">
        <v>244</v>
      </c>
      <c r="M22" s="198"/>
      <c r="N22" s="198"/>
      <c r="O22" s="198"/>
    </row>
    <row r="23" spans="3:15" ht="17.25">
      <c r="C23" s="152"/>
      <c r="D23" s="2"/>
      <c r="E23" s="2"/>
      <c r="F23" s="2"/>
      <c r="G23" s="2"/>
      <c r="H23" s="2"/>
      <c r="I23" s="25"/>
      <c r="J23" s="25"/>
      <c r="K23" s="25"/>
      <c r="L23" s="25"/>
      <c r="M23" s="25"/>
      <c r="N23" s="25"/>
      <c r="O23" s="153"/>
    </row>
    <row r="24" spans="3:15" ht="17.25">
      <c r="C24" s="83" t="s">
        <v>363</v>
      </c>
      <c r="D24" s="2"/>
      <c r="E24" s="2"/>
      <c r="F24" s="2"/>
      <c r="G24" s="2"/>
      <c r="H24" s="24" t="s">
        <v>247</v>
      </c>
      <c r="I24" s="23"/>
      <c r="J24" s="23"/>
      <c r="K24" s="23"/>
      <c r="L24" s="200" t="s">
        <v>248</v>
      </c>
      <c r="M24" s="200"/>
      <c r="N24" s="200"/>
      <c r="O24" s="200"/>
    </row>
    <row r="25" spans="3:15" ht="17.25">
      <c r="C25" s="2" t="s">
        <v>364</v>
      </c>
      <c r="D25" s="2"/>
      <c r="E25" s="2"/>
      <c r="F25" s="2"/>
      <c r="G25" s="2"/>
      <c r="H25" s="2" t="s">
        <v>250</v>
      </c>
      <c r="I25" s="23"/>
      <c r="J25" s="23"/>
      <c r="K25" s="23"/>
      <c r="L25" s="198" t="s">
        <v>28</v>
      </c>
      <c r="M25" s="198"/>
      <c r="N25" s="198"/>
      <c r="O25" s="198"/>
    </row>
    <row r="26" spans="3:15" ht="17.25">
      <c r="C26" s="179"/>
      <c r="D26" s="180"/>
      <c r="E26" s="180"/>
      <c r="F26" s="162"/>
      <c r="G26" s="162"/>
      <c r="H26" s="181"/>
      <c r="I26" s="182"/>
      <c r="J26" s="182"/>
      <c r="K26" s="181"/>
      <c r="L26" s="183"/>
      <c r="M26" s="181"/>
      <c r="N26" s="181"/>
      <c r="O26" s="166"/>
    </row>
    <row r="27" spans="3:15" ht="17.25">
      <c r="C27" s="179"/>
      <c r="D27" s="180"/>
      <c r="E27" s="180"/>
      <c r="F27" s="162"/>
      <c r="G27" s="162"/>
      <c r="H27" s="181"/>
      <c r="I27" s="182"/>
      <c r="J27" s="182"/>
      <c r="K27" s="181"/>
      <c r="L27" s="183"/>
      <c r="M27" s="181"/>
      <c r="N27" s="181"/>
      <c r="O27" s="166"/>
    </row>
  </sheetData>
  <mergeCells count="5">
    <mergeCell ref="C3:N8"/>
    <mergeCell ref="C10:N10"/>
    <mergeCell ref="L22:O22"/>
    <mergeCell ref="L24:O24"/>
    <mergeCell ref="L25:O2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B1335-8CF1-40B8-84B2-14D78CBF85AA}">
  <dimension ref="B6:N26"/>
  <sheetViews>
    <sheetView workbookViewId="0">
      <selection activeCell="B6" sqref="B6:N26"/>
    </sheetView>
  </sheetViews>
  <sheetFormatPr baseColWidth="10" defaultRowHeight="15"/>
  <cols>
    <col min="3" max="3" width="22.7109375" bestFit="1" customWidth="1"/>
    <col min="4" max="4" width="26.7109375" customWidth="1"/>
    <col min="6" max="6" width="22.42578125" customWidth="1"/>
    <col min="7" max="7" width="31.28515625" customWidth="1"/>
    <col min="8" max="8" width="23.28515625" customWidth="1"/>
    <col min="13" max="13" width="29.140625" customWidth="1"/>
  </cols>
  <sheetData>
    <row r="6" spans="2:14">
      <c r="B6" s="216" t="s">
        <v>368</v>
      </c>
      <c r="C6" s="217"/>
      <c r="D6" s="217"/>
      <c r="E6" s="217"/>
      <c r="F6" s="217"/>
      <c r="G6" s="217"/>
      <c r="H6" s="217"/>
      <c r="I6" s="217"/>
      <c r="J6" s="217"/>
      <c r="K6" s="217"/>
      <c r="L6" s="217"/>
      <c r="M6" s="218"/>
    </row>
    <row r="7" spans="2:14">
      <c r="B7" s="219"/>
      <c r="C7" s="193"/>
      <c r="D7" s="193"/>
      <c r="E7" s="193"/>
      <c r="F7" s="193"/>
      <c r="G7" s="193"/>
      <c r="H7" s="193"/>
      <c r="I7" s="193"/>
      <c r="J7" s="193"/>
      <c r="K7" s="193"/>
      <c r="L7" s="193"/>
      <c r="M7" s="220"/>
    </row>
    <row r="8" spans="2:14">
      <c r="B8" s="219"/>
      <c r="C8" s="193"/>
      <c r="D8" s="193"/>
      <c r="E8" s="193"/>
      <c r="F8" s="193"/>
      <c r="G8" s="193"/>
      <c r="H8" s="193"/>
      <c r="I8" s="193"/>
      <c r="J8" s="193"/>
      <c r="K8" s="193"/>
      <c r="L8" s="193"/>
      <c r="M8" s="220"/>
    </row>
    <row r="9" spans="2:14">
      <c r="B9" s="219"/>
      <c r="C9" s="193"/>
      <c r="D9" s="193"/>
      <c r="E9" s="193"/>
      <c r="F9" s="193"/>
      <c r="G9" s="193"/>
      <c r="H9" s="193"/>
      <c r="I9" s="193"/>
      <c r="J9" s="193"/>
      <c r="K9" s="193"/>
      <c r="L9" s="193"/>
      <c r="M9" s="220"/>
    </row>
    <row r="10" spans="2:14">
      <c r="B10" s="219"/>
      <c r="C10" s="193"/>
      <c r="D10" s="193"/>
      <c r="E10" s="193"/>
      <c r="F10" s="193"/>
      <c r="G10" s="193"/>
      <c r="H10" s="193"/>
      <c r="I10" s="193"/>
      <c r="J10" s="193"/>
      <c r="K10" s="193"/>
      <c r="L10" s="193"/>
      <c r="M10" s="220"/>
    </row>
    <row r="11" spans="2:14" ht="15.75" thickBot="1">
      <c r="B11" s="221"/>
      <c r="C11" s="222"/>
      <c r="D11" s="222"/>
      <c r="E11" s="222"/>
      <c r="F11" s="222"/>
      <c r="G11" s="222"/>
      <c r="H11" s="222"/>
      <c r="I11" s="222"/>
      <c r="J11" s="222"/>
      <c r="K11" s="222"/>
      <c r="L11" s="193"/>
      <c r="M11" s="220"/>
    </row>
    <row r="12" spans="2:14" ht="21" thickBot="1">
      <c r="B12" s="154" t="s">
        <v>0</v>
      </c>
      <c r="C12" s="154" t="s">
        <v>1</v>
      </c>
      <c r="D12" s="154" t="s">
        <v>2</v>
      </c>
      <c r="E12" s="154" t="s">
        <v>3</v>
      </c>
      <c r="F12" s="154" t="s">
        <v>4</v>
      </c>
      <c r="G12" s="154" t="s">
        <v>5</v>
      </c>
      <c r="H12" s="154" t="s">
        <v>6</v>
      </c>
      <c r="I12" s="154" t="s">
        <v>7</v>
      </c>
      <c r="J12" s="154" t="s">
        <v>369</v>
      </c>
      <c r="K12" s="155" t="s">
        <v>9</v>
      </c>
      <c r="L12" s="156"/>
      <c r="M12" s="157"/>
    </row>
    <row r="13" spans="2:14" ht="30.75">
      <c r="B13" s="227" t="s">
        <v>370</v>
      </c>
      <c r="C13" s="228"/>
      <c r="D13" s="228"/>
      <c r="E13" s="228"/>
      <c r="F13" s="228"/>
      <c r="G13" s="228"/>
      <c r="H13" s="228"/>
      <c r="I13" s="228"/>
      <c r="J13" s="228"/>
      <c r="K13" s="228"/>
      <c r="L13" s="229"/>
      <c r="M13" s="230"/>
    </row>
    <row r="14" spans="2:14" ht="20.25">
      <c r="B14" s="89" t="s">
        <v>11</v>
      </c>
      <c r="C14" s="89" t="s">
        <v>12</v>
      </c>
      <c r="D14" s="89" t="s">
        <v>13</v>
      </c>
      <c r="E14" s="89" t="s">
        <v>14</v>
      </c>
      <c r="F14" s="89" t="s">
        <v>15</v>
      </c>
      <c r="G14" s="89" t="s">
        <v>16</v>
      </c>
      <c r="H14" s="89" t="s">
        <v>17</v>
      </c>
      <c r="I14" s="89" t="s">
        <v>19</v>
      </c>
      <c r="J14" s="89" t="s">
        <v>18</v>
      </c>
      <c r="K14" s="89" t="s">
        <v>20</v>
      </c>
      <c r="L14" s="89" t="s">
        <v>21</v>
      </c>
      <c r="M14" s="89" t="s">
        <v>22</v>
      </c>
    </row>
    <row r="15" spans="2:14" ht="103.5">
      <c r="B15" s="160">
        <v>1</v>
      </c>
      <c r="C15" s="162" t="s">
        <v>117</v>
      </c>
      <c r="D15" s="162" t="s">
        <v>371</v>
      </c>
      <c r="E15" s="162" t="s">
        <v>25</v>
      </c>
      <c r="F15" s="231" t="s">
        <v>372</v>
      </c>
      <c r="G15" s="163">
        <v>55000</v>
      </c>
      <c r="H15" s="4">
        <v>1578.5</v>
      </c>
      <c r="I15" s="4">
        <v>2559.67</v>
      </c>
      <c r="J15" s="4">
        <v>1672</v>
      </c>
      <c r="K15" s="4">
        <v>1039.5</v>
      </c>
      <c r="L15" s="4">
        <f>H15+I15+J15+K15</f>
        <v>6849.67</v>
      </c>
      <c r="M15" s="232">
        <f>G15-L15</f>
        <v>48150.33</v>
      </c>
      <c r="N15" s="166"/>
    </row>
    <row r="16" spans="2:14" ht="34.5">
      <c r="B16" s="167" t="s">
        <v>49</v>
      </c>
      <c r="C16" s="161"/>
      <c r="D16" s="161"/>
      <c r="E16" s="162"/>
      <c r="F16" s="162"/>
      <c r="G16" s="233">
        <f>SUM(G15:G15)</f>
        <v>55000</v>
      </c>
      <c r="H16" s="181">
        <f>+H15</f>
        <v>1578.5</v>
      </c>
      <c r="I16" s="234">
        <v>1520</v>
      </c>
      <c r="J16" s="233">
        <f>SUM(J14:J15)</f>
        <v>1672</v>
      </c>
      <c r="K16" s="233">
        <f>SUM(K14:K15)</f>
        <v>1039.5</v>
      </c>
      <c r="L16" s="233">
        <f>SUM(L14:L15)</f>
        <v>6849.67</v>
      </c>
      <c r="M16" s="235">
        <f>SUM(M15:M15)</f>
        <v>48150.33</v>
      </c>
      <c r="N16" s="166"/>
    </row>
    <row r="17" spans="2:14" ht="34.5">
      <c r="B17" s="173" t="s">
        <v>348</v>
      </c>
      <c r="C17" s="174"/>
      <c r="D17" s="174"/>
      <c r="E17" s="175"/>
      <c r="F17" s="175"/>
      <c r="G17" s="176">
        <f>+G16</f>
        <v>55000</v>
      </c>
      <c r="H17" s="176">
        <f t="shared" ref="H17:L17" si="0">+H16</f>
        <v>1578.5</v>
      </c>
      <c r="I17" s="176">
        <f>+I16</f>
        <v>1520</v>
      </c>
      <c r="J17" s="176">
        <f t="shared" si="0"/>
        <v>1672</v>
      </c>
      <c r="K17" s="176">
        <f t="shared" si="0"/>
        <v>1039.5</v>
      </c>
      <c r="L17" s="176">
        <f t="shared" si="0"/>
        <v>6849.67</v>
      </c>
      <c r="M17" s="172">
        <f>+M16</f>
        <v>48150.33</v>
      </c>
      <c r="N17" s="166"/>
    </row>
    <row r="18" spans="2:14" ht="17.25">
      <c r="B18" s="179"/>
      <c r="C18" s="180"/>
      <c r="D18" s="180"/>
      <c r="E18" s="162"/>
      <c r="F18" s="162"/>
      <c r="G18" s="181"/>
      <c r="H18" s="182"/>
      <c r="I18" s="182"/>
      <c r="J18" s="181"/>
      <c r="K18" s="183"/>
      <c r="L18" s="181"/>
      <c r="M18" s="181"/>
      <c r="N18" s="166"/>
    </row>
    <row r="19" spans="2:14" ht="17.25">
      <c r="B19" s="179"/>
      <c r="C19" s="180"/>
      <c r="D19" s="180"/>
      <c r="E19" s="162"/>
      <c r="F19" s="162"/>
      <c r="G19" s="181"/>
      <c r="H19" s="182"/>
      <c r="I19" s="182"/>
      <c r="J19" s="181"/>
      <c r="K19" s="183"/>
      <c r="L19" s="181"/>
      <c r="M19" s="181"/>
      <c r="N19" s="166"/>
    </row>
    <row r="20" spans="2:14" ht="17.25">
      <c r="B20" s="179"/>
      <c r="C20" s="180"/>
      <c r="D20" s="180"/>
      <c r="E20" s="162"/>
      <c r="F20" s="162"/>
      <c r="G20" s="181"/>
      <c r="H20" s="182"/>
      <c r="I20" s="182"/>
      <c r="J20" s="181"/>
      <c r="K20" s="183"/>
      <c r="L20" s="181"/>
      <c r="M20" s="181"/>
      <c r="N20" s="166"/>
    </row>
    <row r="21" spans="2:14" ht="17.25">
      <c r="B21" s="2" t="s">
        <v>242</v>
      </c>
      <c r="C21" s="2"/>
      <c r="D21" s="2"/>
      <c r="E21" s="2"/>
      <c r="F21" s="2"/>
      <c r="G21" s="23" t="s">
        <v>243</v>
      </c>
      <c r="H21" s="23"/>
      <c r="I21" s="23"/>
      <c r="J21" s="166"/>
      <c r="K21" s="198" t="s">
        <v>244</v>
      </c>
      <c r="L21" s="198"/>
      <c r="M21" s="198"/>
      <c r="N21" s="198"/>
    </row>
    <row r="22" spans="2:14" ht="17.25">
      <c r="B22" s="152"/>
      <c r="C22" s="2"/>
      <c r="D22" s="2"/>
      <c r="E22" s="2"/>
      <c r="F22" s="2"/>
      <c r="G22" s="2"/>
      <c r="H22" s="25"/>
      <c r="I22" s="25"/>
      <c r="J22" s="25"/>
      <c r="K22" s="25"/>
      <c r="L22" s="25"/>
      <c r="M22" s="25"/>
      <c r="N22" s="153"/>
    </row>
    <row r="23" spans="2:14" ht="17.25">
      <c r="B23" s="236" t="s">
        <v>373</v>
      </c>
      <c r="C23" s="237"/>
      <c r="D23" s="2"/>
      <c r="E23" s="2"/>
      <c r="F23" s="2"/>
      <c r="G23" s="24" t="s">
        <v>247</v>
      </c>
      <c r="H23" s="23"/>
      <c r="I23" s="23"/>
      <c r="J23" s="23"/>
      <c r="K23" s="200" t="s">
        <v>248</v>
      </c>
      <c r="L23" s="200"/>
      <c r="M23" s="200"/>
      <c r="N23" s="200"/>
    </row>
    <row r="24" spans="2:14" ht="17.25">
      <c r="B24" s="237" t="s">
        <v>374</v>
      </c>
      <c r="C24" s="237"/>
      <c r="D24" s="2"/>
      <c r="E24" s="2"/>
      <c r="F24" s="2"/>
      <c r="G24" s="2" t="s">
        <v>250</v>
      </c>
      <c r="H24" s="23"/>
      <c r="I24" s="23"/>
      <c r="J24" s="23"/>
      <c r="K24" s="198" t="s">
        <v>28</v>
      </c>
      <c r="L24" s="198"/>
      <c r="M24" s="198"/>
      <c r="N24" s="198"/>
    </row>
    <row r="25" spans="2:14" ht="17.25">
      <c r="B25" s="179"/>
      <c r="C25" s="180"/>
      <c r="D25" s="180"/>
      <c r="E25" s="162"/>
      <c r="F25" s="162"/>
      <c r="G25" s="181"/>
      <c r="H25" s="182"/>
      <c r="I25" s="182"/>
      <c r="J25" s="181"/>
      <c r="K25" s="183"/>
      <c r="L25" s="181"/>
      <c r="M25" s="181"/>
      <c r="N25" s="166"/>
    </row>
    <row r="26" spans="2:14" ht="17.25">
      <c r="B26" s="179"/>
      <c r="C26" s="180"/>
      <c r="D26" s="180"/>
      <c r="E26" s="162"/>
      <c r="F26" s="162"/>
      <c r="G26" s="181"/>
      <c r="H26" s="182"/>
      <c r="I26" s="182"/>
      <c r="J26" s="181"/>
      <c r="K26" s="183"/>
      <c r="L26" s="181"/>
      <c r="M26" s="181"/>
      <c r="N26" s="166"/>
    </row>
  </sheetData>
  <mergeCells count="5">
    <mergeCell ref="B6:M11"/>
    <mergeCell ref="B13:M13"/>
    <mergeCell ref="K21:N21"/>
    <mergeCell ref="K23:N23"/>
    <mergeCell ref="K24:N2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03d98de3570ff24533233ed7ca0f174f">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fe8413d19d0116970c095018e772e907"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A52716-EEF4-451A-ACC4-8DDB3B6EEFFB}">
  <ds:schemaRefs>
    <ds:schemaRef ds:uri="http://schemas.microsoft.com/sharepoint/v3/contenttype/forms"/>
  </ds:schemaRefs>
</ds:datastoreItem>
</file>

<file path=customXml/itemProps2.xml><?xml version="1.0" encoding="utf-8"?>
<ds:datastoreItem xmlns:ds="http://schemas.openxmlformats.org/officeDocument/2006/customXml" ds:itemID="{D97CF579-F1E8-4ADD-865F-9A95F53C041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197BE1C-F414-44FE-8E9B-75418A4C36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4d7c90-bdc3-4155-8460-974466d58a71"/>
    <ds:schemaRef ds:uri="29581c4a-55d9-47ca-90f6-31bb994f4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Nomina General</vt:lpstr>
      <vt:lpstr>Nomina de Cotratados</vt:lpstr>
      <vt:lpstr>Nomina de Vigilancia </vt:lpstr>
      <vt:lpstr>Periodo de Prueba</vt:lpstr>
      <vt:lpstr>'Nomina General'!Área_de_impresión</vt:lpstr>
      <vt:lpstr>'Nomina General'!Títulos_a_imprimir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Kathia Veléz Ramírez</dc:creator>
  <cp:keywords/>
  <dc:description/>
  <cp:lastModifiedBy>Driades Nayade Ferreras Gómez</cp:lastModifiedBy>
  <cp:revision/>
  <dcterms:created xsi:type="dcterms:W3CDTF">2020-09-29T17:23:37Z</dcterms:created>
  <dcterms:modified xsi:type="dcterms:W3CDTF">2025-12-11T19:02:07Z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0x010100301DCFE0E395724783B6DEA7DB5BA80A</vt:lpwstr>
  </property>
</Properties>
</file>